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0" documentId="8_{9C59F0B1-AFB7-4A1B-95AB-3B1662D225FC}" xr6:coauthVersionLast="45" xr6:coauthVersionMax="45" xr10:uidLastSave="{00000000-0000-0000-0000-000000000000}"/>
  <bookViews>
    <workbookView xWindow="5450" yWindow="5450" windowWidth="25580" windowHeight="15380" xr2:uid="{00000000-000D-0000-FFFF-FFFF00000000}"/>
  </bookViews>
  <sheets>
    <sheet name="DCF Valuation Model - EXAMPLE" sheetId="7" r:id="rId1"/>
    <sheet name="DCF Valuation Model - BLANK" sheetId="8" r:id="rId2"/>
    <sheet name="- Disclaimer -" sheetId="2" r:id="rId3"/>
  </sheets>
  <externalReferences>
    <externalReference r:id="rId4"/>
    <externalReference r:id="rId5"/>
  </externalReference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1">'DCF Valuation Model - BLANK'!$B$1:$J$156</definedName>
    <definedName name="_xlnm.Print_Area" localSheetId="0">'DCF Valuation Model - EXAMPLE'!$B$2:$J$157</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55" i="8" l="1"/>
  <c r="D155" i="8"/>
  <c r="C155" i="8"/>
  <c r="E151" i="8"/>
  <c r="D151" i="8"/>
  <c r="E148" i="8"/>
  <c r="D148" i="8"/>
  <c r="C148" i="8"/>
  <c r="E147" i="8"/>
  <c r="D147" i="8"/>
  <c r="C147" i="8"/>
  <c r="E146" i="8"/>
  <c r="D146" i="8"/>
  <c r="C146" i="8"/>
  <c r="C145" i="8"/>
  <c r="E129" i="8"/>
  <c r="F123" i="8"/>
  <c r="G123" i="8" s="1"/>
  <c r="H123" i="8" s="1"/>
  <c r="I123" i="8" s="1"/>
  <c r="J123" i="8" s="1"/>
  <c r="F122" i="8"/>
  <c r="E109" i="8"/>
  <c r="E107" i="8"/>
  <c r="D103" i="8"/>
  <c r="J103" i="8" s="1"/>
  <c r="D102" i="8"/>
  <c r="I102" i="8" s="1"/>
  <c r="J102" i="8" s="1"/>
  <c r="D101" i="8"/>
  <c r="D100" i="8"/>
  <c r="G100" i="8" s="1"/>
  <c r="H100" i="8" s="1"/>
  <c r="J91" i="8"/>
  <c r="J74" i="8" s="1"/>
  <c r="J75" i="8" s="1"/>
  <c r="J117" i="8" s="1"/>
  <c r="E91" i="8"/>
  <c r="E74" i="8" s="1"/>
  <c r="E75" i="8" s="1"/>
  <c r="D91" i="8"/>
  <c r="D86" i="8"/>
  <c r="F78" i="8"/>
  <c r="E78" i="8"/>
  <c r="D78" i="8"/>
  <c r="I74" i="8"/>
  <c r="I75" i="8" s="1"/>
  <c r="I117" i="8" s="1"/>
  <c r="H74" i="8"/>
  <c r="H75" i="8" s="1"/>
  <c r="H117" i="8" s="1"/>
  <c r="G74" i="8"/>
  <c r="G75" i="8" s="1"/>
  <c r="G117" i="8" s="1"/>
  <c r="F74" i="8"/>
  <c r="F75" i="8" s="1"/>
  <c r="F117" i="8" s="1"/>
  <c r="D74" i="8"/>
  <c r="D75" i="8" s="1"/>
  <c r="E70" i="8"/>
  <c r="D70" i="8"/>
  <c r="E69" i="8"/>
  <c r="D69" i="8"/>
  <c r="E68" i="8"/>
  <c r="D68" i="8"/>
  <c r="E67" i="8"/>
  <c r="D67" i="8"/>
  <c r="E66" i="8"/>
  <c r="E79" i="8" s="1"/>
  <c r="D66" i="8"/>
  <c r="D79" i="8" s="1"/>
  <c r="G58" i="8"/>
  <c r="H58" i="8" s="1"/>
  <c r="C55" i="8"/>
  <c r="C154" i="8" s="1"/>
  <c r="F44" i="8"/>
  <c r="G44" i="8" s="1"/>
  <c r="H44" i="8" s="1"/>
  <c r="I44" i="8" s="1"/>
  <c r="J44" i="8" s="1"/>
  <c r="G40" i="8"/>
  <c r="H40" i="8" s="1"/>
  <c r="I40" i="8" s="1"/>
  <c r="J40" i="8" s="1"/>
  <c r="G39" i="8"/>
  <c r="F39" i="8"/>
  <c r="F66" i="8" s="1"/>
  <c r="F79" i="8" s="1"/>
  <c r="J35" i="8"/>
  <c r="J67" i="8" s="1"/>
  <c r="J115" i="8" s="1"/>
  <c r="J31" i="8"/>
  <c r="I31" i="8"/>
  <c r="H31" i="8"/>
  <c r="G31" i="8"/>
  <c r="F31" i="8"/>
  <c r="E31" i="8"/>
  <c r="D31" i="8"/>
  <c r="C31" i="8"/>
  <c r="G26" i="8"/>
  <c r="H26" i="8" s="1"/>
  <c r="I26" i="8" s="1"/>
  <c r="J26" i="8" s="1"/>
  <c r="E25" i="8"/>
  <c r="E26" i="8" s="1"/>
  <c r="D25" i="8"/>
  <c r="D26" i="8" s="1"/>
  <c r="C25" i="8"/>
  <c r="C26" i="8" s="1"/>
  <c r="E22" i="8"/>
  <c r="D22" i="8"/>
  <c r="F21" i="8"/>
  <c r="F151" i="8" s="1"/>
  <c r="F20" i="8"/>
  <c r="I9" i="8"/>
  <c r="I8" i="8"/>
  <c r="G8" i="8"/>
  <c r="I7" i="8"/>
  <c r="F100" i="7"/>
  <c r="F106" i="7"/>
  <c r="F58" i="7"/>
  <c r="G27" i="7"/>
  <c r="H27" i="7" s="1"/>
  <c r="I27" i="7" s="1"/>
  <c r="J27" i="7" s="1"/>
  <c r="E156" i="7"/>
  <c r="D156" i="7"/>
  <c r="C156" i="7"/>
  <c r="E152" i="7"/>
  <c r="D152" i="7"/>
  <c r="E149" i="7"/>
  <c r="D149" i="7"/>
  <c r="C149" i="7"/>
  <c r="E148" i="7"/>
  <c r="D148" i="7"/>
  <c r="C148" i="7"/>
  <c r="E147" i="7"/>
  <c r="D147" i="7"/>
  <c r="C147" i="7"/>
  <c r="C146" i="7"/>
  <c r="E130" i="7"/>
  <c r="F124" i="7"/>
  <c r="G124" i="7" s="1"/>
  <c r="H124" i="7" s="1"/>
  <c r="I124" i="7" s="1"/>
  <c r="J124" i="7" s="1"/>
  <c r="F123" i="7"/>
  <c r="E110" i="7"/>
  <c r="E94" i="7" s="1"/>
  <c r="D100" i="7" s="1"/>
  <c r="E108" i="7"/>
  <c r="D104" i="7"/>
  <c r="J104" i="7" s="1"/>
  <c r="D103" i="7"/>
  <c r="D102" i="7"/>
  <c r="H102" i="7" s="1"/>
  <c r="D101" i="7"/>
  <c r="J92" i="7"/>
  <c r="J75" i="7" s="1"/>
  <c r="J76" i="7" s="1"/>
  <c r="J118" i="7" s="1"/>
  <c r="E92" i="7"/>
  <c r="D92" i="7"/>
  <c r="D75" i="7" s="1"/>
  <c r="D76" i="7" s="1"/>
  <c r="D87" i="7"/>
  <c r="F79" i="7"/>
  <c r="E79" i="7"/>
  <c r="D79" i="7"/>
  <c r="I75" i="7"/>
  <c r="I76" i="7" s="1"/>
  <c r="I118" i="7" s="1"/>
  <c r="H75" i="7"/>
  <c r="H76" i="7" s="1"/>
  <c r="H118" i="7" s="1"/>
  <c r="G75" i="7"/>
  <c r="G76" i="7" s="1"/>
  <c r="G118" i="7" s="1"/>
  <c r="F75" i="7"/>
  <c r="F76" i="7" s="1"/>
  <c r="F118" i="7" s="1"/>
  <c r="E75" i="7"/>
  <c r="E76" i="7" s="1"/>
  <c r="E71" i="7"/>
  <c r="D71" i="7"/>
  <c r="E70" i="7"/>
  <c r="D70" i="7"/>
  <c r="E69" i="7"/>
  <c r="D69" i="7"/>
  <c r="E68" i="7"/>
  <c r="D68" i="7"/>
  <c r="E67" i="7"/>
  <c r="E80" i="7" s="1"/>
  <c r="D67" i="7"/>
  <c r="D80" i="7" s="1"/>
  <c r="D83" i="7" s="1"/>
  <c r="G59" i="7"/>
  <c r="H59" i="7" s="1"/>
  <c r="C56" i="7"/>
  <c r="F45" i="7"/>
  <c r="G45" i="7" s="1"/>
  <c r="H45" i="7" s="1"/>
  <c r="I45" i="7" s="1"/>
  <c r="J45" i="7" s="1"/>
  <c r="G41" i="7"/>
  <c r="H41" i="7" s="1"/>
  <c r="I41" i="7" s="1"/>
  <c r="J41" i="7" s="1"/>
  <c r="G40" i="7"/>
  <c r="G67" i="7" s="1"/>
  <c r="G80" i="7" s="1"/>
  <c r="G83" i="7" s="1"/>
  <c r="F40" i="7"/>
  <c r="J36" i="7"/>
  <c r="J68" i="7" s="1"/>
  <c r="J116" i="7" s="1"/>
  <c r="J32" i="7"/>
  <c r="I32" i="7"/>
  <c r="H32" i="7"/>
  <c r="G32" i="7"/>
  <c r="E32" i="7"/>
  <c r="D32" i="7"/>
  <c r="C32" i="7"/>
  <c r="F32" i="7"/>
  <c r="E27" i="7"/>
  <c r="E26" i="7"/>
  <c r="D26" i="7"/>
  <c r="D27" i="7" s="1"/>
  <c r="C26" i="7"/>
  <c r="E23" i="7"/>
  <c r="D23" i="7"/>
  <c r="F22" i="7"/>
  <c r="F53" i="7" s="1"/>
  <c r="F21" i="7"/>
  <c r="G21" i="7" s="1"/>
  <c r="E21" i="7"/>
  <c r="I10" i="7"/>
  <c r="I9" i="7"/>
  <c r="G9" i="7"/>
  <c r="I8" i="7"/>
  <c r="E93" i="8" l="1"/>
  <c r="E32" i="8"/>
  <c r="E33" i="8" s="1"/>
  <c r="E150" i="8" s="1"/>
  <c r="G21" i="8"/>
  <c r="G151" i="8" s="1"/>
  <c r="H39" i="8"/>
  <c r="H66" i="8" s="1"/>
  <c r="H79" i="8" s="1"/>
  <c r="I58" i="8"/>
  <c r="I39" i="8" s="1"/>
  <c r="I66" i="8" s="1"/>
  <c r="I79" i="8" s="1"/>
  <c r="C32" i="8"/>
  <c r="C141" i="8" s="1"/>
  <c r="F25" i="8"/>
  <c r="F32" i="8" s="1"/>
  <c r="F141" i="8" s="1"/>
  <c r="F82" i="8"/>
  <c r="D99" i="8"/>
  <c r="F93" i="8"/>
  <c r="H101" i="8"/>
  <c r="F139" i="8"/>
  <c r="F83" i="8"/>
  <c r="F63" i="8"/>
  <c r="F85" i="8"/>
  <c r="F77" i="8"/>
  <c r="F98" i="8"/>
  <c r="G20" i="8"/>
  <c r="D32" i="8"/>
  <c r="C59" i="8"/>
  <c r="C60" i="8" s="1"/>
  <c r="F73" i="8"/>
  <c r="F111" i="8"/>
  <c r="G66" i="8"/>
  <c r="G79" i="8" s="1"/>
  <c r="F50" i="8"/>
  <c r="F52" i="8"/>
  <c r="D82" i="8"/>
  <c r="E20" i="8"/>
  <c r="E82" i="8"/>
  <c r="F90" i="8"/>
  <c r="C100" i="8" s="1"/>
  <c r="C101" i="8" s="1"/>
  <c r="C102" i="8" s="1"/>
  <c r="C103" i="8" s="1"/>
  <c r="I100" i="8"/>
  <c r="J100" i="8" s="1"/>
  <c r="I59" i="7"/>
  <c r="H40" i="7"/>
  <c r="H67" i="7" s="1"/>
  <c r="H80" i="7" s="1"/>
  <c r="H83" i="7" s="1"/>
  <c r="E83" i="7"/>
  <c r="F94" i="7"/>
  <c r="G94" i="7" s="1"/>
  <c r="H94" i="7" s="1"/>
  <c r="E33" i="7"/>
  <c r="E37" i="7" s="1"/>
  <c r="C33" i="7"/>
  <c r="C142" i="7" s="1"/>
  <c r="G22" i="7"/>
  <c r="G26" i="7" s="1"/>
  <c r="G33" i="7" s="1"/>
  <c r="D33" i="7"/>
  <c r="D37" i="7" s="1"/>
  <c r="D144" i="7" s="1"/>
  <c r="G112" i="7"/>
  <c r="H21" i="7"/>
  <c r="H64" i="7" s="1"/>
  <c r="G99" i="7"/>
  <c r="F78" i="7"/>
  <c r="F64" i="7"/>
  <c r="E99" i="7"/>
  <c r="D99" i="7" s="1"/>
  <c r="C99" i="7" s="1"/>
  <c r="E112" i="7"/>
  <c r="E91" i="7"/>
  <c r="E74" i="7"/>
  <c r="D74" i="7" s="1"/>
  <c r="C74" i="7" s="1"/>
  <c r="E78" i="7"/>
  <c r="D78" i="7" s="1"/>
  <c r="C78" i="7" s="1"/>
  <c r="E64" i="7"/>
  <c r="D64" i="7" s="1"/>
  <c r="C64" i="7" s="1"/>
  <c r="D21" i="7"/>
  <c r="C21" i="7" s="1"/>
  <c r="E84" i="7"/>
  <c r="D84" i="7" s="1"/>
  <c r="C84" i="7" s="1"/>
  <c r="E140" i="7"/>
  <c r="D140" i="7" s="1"/>
  <c r="C140" i="7" s="1"/>
  <c r="E86" i="7"/>
  <c r="D86" i="7" s="1"/>
  <c r="C86" i="7" s="1"/>
  <c r="E142" i="7"/>
  <c r="E34" i="7"/>
  <c r="E151" i="7" s="1"/>
  <c r="C155" i="7"/>
  <c r="C60" i="7"/>
  <c r="C61" i="7" s="1"/>
  <c r="F67" i="7"/>
  <c r="F80" i="7" s="1"/>
  <c r="F83" i="7" s="1"/>
  <c r="F147" i="7"/>
  <c r="F69" i="7"/>
  <c r="E51" i="7"/>
  <c r="D51" i="7" s="1"/>
  <c r="C51" i="7" s="1"/>
  <c r="I40" i="7"/>
  <c r="I103" i="7"/>
  <c r="J103" i="7" s="1"/>
  <c r="F112" i="7"/>
  <c r="F91" i="7"/>
  <c r="C101" i="7" s="1"/>
  <c r="C102" i="7" s="1"/>
  <c r="C103" i="7" s="1"/>
  <c r="C104" i="7" s="1"/>
  <c r="F74" i="7"/>
  <c r="F140" i="7"/>
  <c r="F84" i="7"/>
  <c r="F26" i="7"/>
  <c r="F33" i="7" s="1"/>
  <c r="F51" i="7"/>
  <c r="G64" i="7"/>
  <c r="G140" i="7"/>
  <c r="G84" i="7"/>
  <c r="G86" i="7"/>
  <c r="G78" i="7"/>
  <c r="F152" i="7"/>
  <c r="C27" i="7"/>
  <c r="G51" i="7"/>
  <c r="G53" i="7"/>
  <c r="G74" i="7"/>
  <c r="F86" i="7"/>
  <c r="G91" i="7"/>
  <c r="G101" i="7"/>
  <c r="H78" i="7"/>
  <c r="H84" i="7"/>
  <c r="F99" i="7"/>
  <c r="I102" i="7"/>
  <c r="J102" i="7" s="1"/>
  <c r="H74" i="7" l="1"/>
  <c r="H86" i="7"/>
  <c r="H51" i="7"/>
  <c r="H112" i="7"/>
  <c r="H91" i="7"/>
  <c r="H99" i="7"/>
  <c r="G52" i="8"/>
  <c r="G68" i="8" s="1"/>
  <c r="E36" i="8"/>
  <c r="E141" i="8"/>
  <c r="F33" i="8"/>
  <c r="F150" i="8" s="1"/>
  <c r="H21" i="8"/>
  <c r="H52" i="8" s="1"/>
  <c r="G25" i="8"/>
  <c r="G32" i="8" s="1"/>
  <c r="G33" i="8" s="1"/>
  <c r="G150" i="8" s="1"/>
  <c r="C33" i="8"/>
  <c r="C150" i="8" s="1"/>
  <c r="C36" i="8"/>
  <c r="C37" i="8" s="1"/>
  <c r="J58" i="8"/>
  <c r="J39" i="8" s="1"/>
  <c r="F24" i="8"/>
  <c r="E111" i="8"/>
  <c r="E90" i="8"/>
  <c r="E73" i="8"/>
  <c r="D73" i="8" s="1"/>
  <c r="C73" i="8" s="1"/>
  <c r="E139" i="8"/>
  <c r="D139" i="8" s="1"/>
  <c r="C139" i="8" s="1"/>
  <c r="E83" i="8"/>
  <c r="D83" i="8" s="1"/>
  <c r="C83" i="8" s="1"/>
  <c r="E63" i="8"/>
  <c r="D63" i="8" s="1"/>
  <c r="C63" i="8" s="1"/>
  <c r="E85" i="8"/>
  <c r="D85" i="8" s="1"/>
  <c r="C85" i="8" s="1"/>
  <c r="E77" i="8"/>
  <c r="D77" i="8" s="1"/>
  <c r="C77" i="8" s="1"/>
  <c r="D20" i="8"/>
  <c r="C20" i="8" s="1"/>
  <c r="E98" i="8"/>
  <c r="D98" i="8" s="1"/>
  <c r="C98" i="8" s="1"/>
  <c r="E50" i="8"/>
  <c r="D50" i="8" s="1"/>
  <c r="C50" i="8" s="1"/>
  <c r="F68" i="8"/>
  <c r="F146" i="8"/>
  <c r="G24" i="8"/>
  <c r="F99" i="8"/>
  <c r="F105" i="8" s="1"/>
  <c r="I82" i="8"/>
  <c r="H82" i="8"/>
  <c r="G85" i="8"/>
  <c r="G77" i="8"/>
  <c r="G98" i="8"/>
  <c r="G111" i="8"/>
  <c r="G90" i="8"/>
  <c r="G73" i="8"/>
  <c r="G50" i="8"/>
  <c r="H20" i="8"/>
  <c r="G83" i="8"/>
  <c r="G139" i="8"/>
  <c r="G63" i="8"/>
  <c r="I101" i="8"/>
  <c r="J101" i="8" s="1"/>
  <c r="G146" i="8"/>
  <c r="G82" i="8"/>
  <c r="G93" i="8"/>
  <c r="E143" i="8"/>
  <c r="E37" i="8"/>
  <c r="E41" i="8"/>
  <c r="G141" i="8"/>
  <c r="D141" i="8"/>
  <c r="D36" i="8"/>
  <c r="D33" i="8"/>
  <c r="D150" i="8" s="1"/>
  <c r="J59" i="7"/>
  <c r="J40" i="7" s="1"/>
  <c r="J67" i="7" s="1"/>
  <c r="J80" i="7" s="1"/>
  <c r="J83" i="7" s="1"/>
  <c r="C37" i="7"/>
  <c r="C38" i="7" s="1"/>
  <c r="C34" i="7"/>
  <c r="C151" i="7" s="1"/>
  <c r="G25" i="7"/>
  <c r="F25" i="7"/>
  <c r="G152" i="7"/>
  <c r="H22" i="7"/>
  <c r="D34" i="7"/>
  <c r="D151" i="7" s="1"/>
  <c r="D38" i="7"/>
  <c r="D42" i="7"/>
  <c r="D47" i="7" s="1"/>
  <c r="D142" i="7"/>
  <c r="H140" i="7"/>
  <c r="I21" i="7"/>
  <c r="G100" i="7"/>
  <c r="G106" i="7" s="1"/>
  <c r="G36" i="7" s="1"/>
  <c r="G68" i="7" s="1"/>
  <c r="G116" i="7" s="1"/>
  <c r="F54" i="7"/>
  <c r="H101" i="7"/>
  <c r="I101" i="7" s="1"/>
  <c r="G34" i="7"/>
  <c r="G151" i="7" s="1"/>
  <c r="G142" i="7"/>
  <c r="D43" i="7"/>
  <c r="I94" i="7"/>
  <c r="G147" i="7"/>
  <c r="G54" i="7"/>
  <c r="G58" i="7"/>
  <c r="I67" i="7"/>
  <c r="I80" i="7" s="1"/>
  <c r="G69" i="7"/>
  <c r="C100" i="7"/>
  <c r="D91" i="7"/>
  <c r="C91" i="7" s="1"/>
  <c r="F142" i="7"/>
  <c r="F34" i="7"/>
  <c r="F151" i="7" s="1"/>
  <c r="E144" i="7"/>
  <c r="E42" i="7"/>
  <c r="E38" i="7"/>
  <c r="I21" i="8" l="1"/>
  <c r="I151" i="8" s="1"/>
  <c r="H25" i="8"/>
  <c r="H32" i="8" s="1"/>
  <c r="H33" i="8" s="1"/>
  <c r="H150" i="8" s="1"/>
  <c r="C41" i="8"/>
  <c r="C46" i="8" s="1"/>
  <c r="C143" i="8"/>
  <c r="H151" i="8"/>
  <c r="F53" i="8"/>
  <c r="F57" i="8"/>
  <c r="G99" i="8"/>
  <c r="G105" i="8" s="1"/>
  <c r="G35" i="8" s="1"/>
  <c r="H98" i="8"/>
  <c r="H111" i="8"/>
  <c r="H90" i="8"/>
  <c r="H73" i="8"/>
  <c r="H139" i="8"/>
  <c r="H83" i="8"/>
  <c r="H63" i="8"/>
  <c r="I20" i="8"/>
  <c r="H85" i="8"/>
  <c r="H77" i="8"/>
  <c r="H50" i="8"/>
  <c r="J66" i="8"/>
  <c r="J79" i="8" s="1"/>
  <c r="F107" i="8"/>
  <c r="F35" i="8"/>
  <c r="H146" i="8"/>
  <c r="D143" i="8"/>
  <c r="D41" i="8"/>
  <c r="D37" i="8"/>
  <c r="I25" i="8"/>
  <c r="I32" i="8" s="1"/>
  <c r="I52" i="8"/>
  <c r="J21" i="8"/>
  <c r="H93" i="8"/>
  <c r="H68" i="8"/>
  <c r="G57" i="8"/>
  <c r="G53" i="8"/>
  <c r="C99" i="8"/>
  <c r="D90" i="8"/>
  <c r="C90" i="8" s="1"/>
  <c r="E46" i="8"/>
  <c r="E44" i="8"/>
  <c r="E42" i="8"/>
  <c r="G37" i="7"/>
  <c r="H100" i="7"/>
  <c r="H106" i="7" s="1"/>
  <c r="H36" i="7" s="1"/>
  <c r="H68" i="7" s="1"/>
  <c r="H116" i="7" s="1"/>
  <c r="I100" i="7"/>
  <c r="I106" i="7" s="1"/>
  <c r="I36" i="7" s="1"/>
  <c r="I68" i="7" s="1"/>
  <c r="I116" i="7" s="1"/>
  <c r="C42" i="7"/>
  <c r="C43" i="7" s="1"/>
  <c r="C144" i="7"/>
  <c r="D45" i="7"/>
  <c r="I22" i="7"/>
  <c r="H53" i="7"/>
  <c r="H152" i="7"/>
  <c r="H26" i="7"/>
  <c r="I51" i="7"/>
  <c r="I112" i="7"/>
  <c r="I86" i="7"/>
  <c r="I84" i="7"/>
  <c r="I74" i="7"/>
  <c r="I99" i="7"/>
  <c r="I140" i="7"/>
  <c r="I91" i="7"/>
  <c r="I64" i="7"/>
  <c r="I78" i="7"/>
  <c r="J21" i="7"/>
  <c r="I83" i="7"/>
  <c r="C47" i="7"/>
  <c r="C45" i="7"/>
  <c r="E45" i="7"/>
  <c r="E43" i="7"/>
  <c r="E47" i="7"/>
  <c r="G149" i="7"/>
  <c r="G71" i="7"/>
  <c r="G148" i="7"/>
  <c r="J94" i="7"/>
  <c r="F149" i="7"/>
  <c r="F71" i="7"/>
  <c r="F108" i="7"/>
  <c r="F36" i="7"/>
  <c r="D48" i="7"/>
  <c r="D66" i="7"/>
  <c r="D72" i="7" s="1"/>
  <c r="D85" i="7" s="1"/>
  <c r="D88" i="7" s="1"/>
  <c r="D52" i="7" s="1"/>
  <c r="G42" i="7"/>
  <c r="G144" i="7"/>
  <c r="G114" i="7"/>
  <c r="G38" i="7"/>
  <c r="F148" i="7"/>
  <c r="G70" i="7"/>
  <c r="F70" i="7"/>
  <c r="J101" i="7"/>
  <c r="H141" i="8" l="1"/>
  <c r="H24" i="8"/>
  <c r="H53" i="8" s="1"/>
  <c r="H69" i="8" s="1"/>
  <c r="C42" i="8"/>
  <c r="C44" i="8"/>
  <c r="I24" i="8"/>
  <c r="I57" i="8" s="1"/>
  <c r="G67" i="8"/>
  <c r="G115" i="8" s="1"/>
  <c r="G36" i="8"/>
  <c r="F70" i="8"/>
  <c r="F148" i="8"/>
  <c r="F147" i="8"/>
  <c r="F69" i="8"/>
  <c r="H99" i="8"/>
  <c r="H105" i="8" s="1"/>
  <c r="H35" i="8" s="1"/>
  <c r="C153" i="8"/>
  <c r="C47" i="8"/>
  <c r="I33" i="8"/>
  <c r="I150" i="8" s="1"/>
  <c r="I141" i="8"/>
  <c r="D44" i="8"/>
  <c r="D42" i="8"/>
  <c r="D46" i="8"/>
  <c r="J82" i="8"/>
  <c r="I111" i="8"/>
  <c r="I90" i="8"/>
  <c r="I73" i="8"/>
  <c r="I139" i="8"/>
  <c r="I83" i="8"/>
  <c r="I63" i="8"/>
  <c r="I85" i="8"/>
  <c r="I77" i="8"/>
  <c r="I98" i="8"/>
  <c r="J20" i="8"/>
  <c r="I50" i="8"/>
  <c r="I93" i="8"/>
  <c r="J151" i="8"/>
  <c r="J52" i="8"/>
  <c r="J68" i="8" s="1"/>
  <c r="J25" i="8"/>
  <c r="J32" i="8" s="1"/>
  <c r="F67" i="8"/>
  <c r="F115" i="8" s="1"/>
  <c r="F36" i="8"/>
  <c r="G147" i="8"/>
  <c r="G69" i="8"/>
  <c r="I53" i="8"/>
  <c r="G70" i="8"/>
  <c r="G148" i="8"/>
  <c r="E65" i="8"/>
  <c r="E71" i="8" s="1"/>
  <c r="E84" i="8" s="1"/>
  <c r="E47" i="8"/>
  <c r="I146" i="8"/>
  <c r="I68" i="8"/>
  <c r="G107" i="8"/>
  <c r="F109" i="8"/>
  <c r="F54" i="8" s="1"/>
  <c r="F155" i="8" s="1"/>
  <c r="J100" i="7"/>
  <c r="G117" i="7"/>
  <c r="H33" i="7"/>
  <c r="H25" i="7"/>
  <c r="H69" i="7"/>
  <c r="H147" i="7"/>
  <c r="I26" i="7"/>
  <c r="I33" i="7" s="1"/>
  <c r="J22" i="7"/>
  <c r="I152" i="7"/>
  <c r="I53" i="7"/>
  <c r="F117" i="7"/>
  <c r="J140" i="7"/>
  <c r="J51" i="7"/>
  <c r="J91" i="7"/>
  <c r="J74" i="7"/>
  <c r="J112" i="7"/>
  <c r="J84" i="7"/>
  <c r="J64" i="7"/>
  <c r="J78" i="7"/>
  <c r="J86" i="7"/>
  <c r="J99" i="7"/>
  <c r="G115" i="7"/>
  <c r="G119" i="7" s="1"/>
  <c r="G121" i="7" s="1"/>
  <c r="G46" i="7"/>
  <c r="G47" i="7" s="1"/>
  <c r="G43" i="7"/>
  <c r="E87" i="7"/>
  <c r="G108" i="7"/>
  <c r="F110" i="7"/>
  <c r="F55" i="7" s="1"/>
  <c r="F156" i="7" s="1"/>
  <c r="C154" i="7"/>
  <c r="C48" i="7"/>
  <c r="F68" i="7"/>
  <c r="F116" i="7" s="1"/>
  <c r="F37" i="7"/>
  <c r="E66" i="7"/>
  <c r="E72" i="7" s="1"/>
  <c r="E85" i="7" s="1"/>
  <c r="E48" i="7"/>
  <c r="H57" i="8" l="1"/>
  <c r="F116" i="8"/>
  <c r="I99" i="8"/>
  <c r="I105" i="8" s="1"/>
  <c r="I35" i="8" s="1"/>
  <c r="I67" i="8" s="1"/>
  <c r="I115" i="8" s="1"/>
  <c r="J24" i="8"/>
  <c r="J53" i="8" s="1"/>
  <c r="J147" i="8" s="1"/>
  <c r="H67" i="8"/>
  <c r="H115" i="8" s="1"/>
  <c r="H36" i="8"/>
  <c r="G41" i="8"/>
  <c r="G37" i="8"/>
  <c r="G143" i="8"/>
  <c r="G113" i="8"/>
  <c r="G114" i="8" s="1"/>
  <c r="G116" i="8"/>
  <c r="J139" i="8"/>
  <c r="J83" i="8"/>
  <c r="J63" i="8"/>
  <c r="J85" i="8"/>
  <c r="J77" i="8"/>
  <c r="J98" i="8"/>
  <c r="J111" i="8"/>
  <c r="J73" i="8"/>
  <c r="J50" i="8"/>
  <c r="J90" i="8"/>
  <c r="I147" i="8"/>
  <c r="H147" i="8"/>
  <c r="I69" i="8"/>
  <c r="H70" i="8"/>
  <c r="H116" i="8" s="1"/>
  <c r="H148" i="8"/>
  <c r="J93" i="8"/>
  <c r="D65" i="8"/>
  <c r="D71" i="8" s="1"/>
  <c r="D84" i="8" s="1"/>
  <c r="D87" i="8" s="1"/>
  <c r="D47" i="8"/>
  <c r="H107" i="8"/>
  <c r="G109" i="8"/>
  <c r="G54" i="8" s="1"/>
  <c r="G155" i="8" s="1"/>
  <c r="I148" i="8"/>
  <c r="I70" i="8"/>
  <c r="J119" i="8"/>
  <c r="J33" i="8"/>
  <c r="J150" i="8" s="1"/>
  <c r="J36" i="8"/>
  <c r="J141" i="8"/>
  <c r="F113" i="8"/>
  <c r="F41" i="8"/>
  <c r="F37" i="8"/>
  <c r="F143" i="8"/>
  <c r="J146" i="8"/>
  <c r="I25" i="7"/>
  <c r="J53" i="7"/>
  <c r="J147" i="7" s="1"/>
  <c r="J26" i="7"/>
  <c r="J152" i="7"/>
  <c r="H54" i="7"/>
  <c r="H58" i="7"/>
  <c r="I147" i="7"/>
  <c r="I69" i="7"/>
  <c r="I142" i="7"/>
  <c r="I37" i="7"/>
  <c r="I34" i="7"/>
  <c r="I151" i="7" s="1"/>
  <c r="H142" i="7"/>
  <c r="H34" i="7"/>
  <c r="H151" i="7" s="1"/>
  <c r="H37" i="7"/>
  <c r="G125" i="7"/>
  <c r="G143" i="7"/>
  <c r="G66" i="7"/>
  <c r="G72" i="7" s="1"/>
  <c r="G85" i="7" s="1"/>
  <c r="G48" i="7"/>
  <c r="E88" i="7"/>
  <c r="D146" i="7"/>
  <c r="D56" i="7"/>
  <c r="H108" i="7"/>
  <c r="G110" i="7"/>
  <c r="G55" i="7" s="1"/>
  <c r="G156" i="7" s="1"/>
  <c r="F114" i="7"/>
  <c r="F38" i="7"/>
  <c r="F42" i="7"/>
  <c r="F144" i="7"/>
  <c r="J57" i="8" l="1"/>
  <c r="I36" i="8"/>
  <c r="I113" i="8" s="1"/>
  <c r="I114" i="8" s="1"/>
  <c r="J99" i="8"/>
  <c r="I116" i="8"/>
  <c r="J69" i="8"/>
  <c r="G152" i="8"/>
  <c r="G118" i="8"/>
  <c r="G120" i="8" s="1"/>
  <c r="G45" i="8"/>
  <c r="G46" i="8" s="1"/>
  <c r="G42" i="8"/>
  <c r="I41" i="8"/>
  <c r="I42" i="8" s="1"/>
  <c r="H41" i="8"/>
  <c r="H37" i="8"/>
  <c r="H113" i="8"/>
  <c r="H114" i="8" s="1"/>
  <c r="H143" i="8"/>
  <c r="F114" i="8"/>
  <c r="F152" i="8" s="1"/>
  <c r="E86" i="8"/>
  <c r="E87" i="8" s="1"/>
  <c r="D51" i="8"/>
  <c r="F45" i="8"/>
  <c r="F46" i="8" s="1"/>
  <c r="F42" i="8"/>
  <c r="J113" i="8"/>
  <c r="J41" i="8"/>
  <c r="J37" i="8"/>
  <c r="J143" i="8"/>
  <c r="I107" i="8"/>
  <c r="H109" i="8"/>
  <c r="H54" i="8" s="1"/>
  <c r="H155" i="8" s="1"/>
  <c r="J70" i="8"/>
  <c r="J148" i="8"/>
  <c r="J69" i="7"/>
  <c r="H114" i="7"/>
  <c r="H115" i="7" s="1"/>
  <c r="H144" i="7"/>
  <c r="H42" i="7"/>
  <c r="H38" i="7"/>
  <c r="I42" i="7"/>
  <c r="I38" i="7"/>
  <c r="I144" i="7"/>
  <c r="I114" i="7"/>
  <c r="I115" i="7" s="1"/>
  <c r="J33" i="7"/>
  <c r="J25" i="7"/>
  <c r="H71" i="7"/>
  <c r="H149" i="7"/>
  <c r="H70" i="7"/>
  <c r="H148" i="7"/>
  <c r="I58" i="7"/>
  <c r="I54" i="7"/>
  <c r="I148" i="7" s="1"/>
  <c r="I108" i="7"/>
  <c r="H110" i="7"/>
  <c r="H55" i="7" s="1"/>
  <c r="H156" i="7" s="1"/>
  <c r="D60" i="7"/>
  <c r="D155" i="7"/>
  <c r="F46" i="7"/>
  <c r="F47" i="7" s="1"/>
  <c r="F43" i="7"/>
  <c r="F115" i="7"/>
  <c r="F153" i="7" s="1"/>
  <c r="E52" i="7"/>
  <c r="F87" i="7"/>
  <c r="G153" i="7"/>
  <c r="I37" i="8" l="1"/>
  <c r="I143" i="8"/>
  <c r="J116" i="8"/>
  <c r="H152" i="8"/>
  <c r="I45" i="8"/>
  <c r="I46" i="8" s="1"/>
  <c r="G47" i="8"/>
  <c r="G65" i="8"/>
  <c r="G71" i="8" s="1"/>
  <c r="G84" i="8" s="1"/>
  <c r="F118" i="8"/>
  <c r="F120" i="8" s="1"/>
  <c r="F124" i="8" s="1"/>
  <c r="H45" i="8"/>
  <c r="H46" i="8" s="1"/>
  <c r="H42" i="8"/>
  <c r="H118" i="8"/>
  <c r="H120" i="8" s="1"/>
  <c r="G124" i="8"/>
  <c r="G142" i="8"/>
  <c r="F65" i="8"/>
  <c r="F71" i="8" s="1"/>
  <c r="F84" i="8" s="1"/>
  <c r="F47" i="8"/>
  <c r="D145" i="8"/>
  <c r="D55" i="8"/>
  <c r="D154" i="8" s="1"/>
  <c r="I118" i="8"/>
  <c r="I120" i="8" s="1"/>
  <c r="F86" i="8"/>
  <c r="E51" i="8"/>
  <c r="J45" i="8"/>
  <c r="J46" i="8" s="1"/>
  <c r="J42" i="8"/>
  <c r="J107" i="8"/>
  <c r="J109" i="8" s="1"/>
  <c r="J54" i="8" s="1"/>
  <c r="J155" i="8" s="1"/>
  <c r="I109" i="8"/>
  <c r="I54" i="8" s="1"/>
  <c r="I155" i="8" s="1"/>
  <c r="I152" i="8" s="1"/>
  <c r="J114" i="8"/>
  <c r="H117" i="7"/>
  <c r="I70" i="7"/>
  <c r="H153" i="7"/>
  <c r="I71" i="7"/>
  <c r="I149" i="7"/>
  <c r="H43" i="7"/>
  <c r="H46" i="7"/>
  <c r="H47" i="7" s="1"/>
  <c r="J58" i="7"/>
  <c r="J54" i="7"/>
  <c r="J142" i="7"/>
  <c r="J120" i="7"/>
  <c r="J34" i="7"/>
  <c r="J151" i="7" s="1"/>
  <c r="J37" i="7"/>
  <c r="I46" i="7"/>
  <c r="I47" i="7" s="1"/>
  <c r="I43" i="7"/>
  <c r="H119" i="7"/>
  <c r="H121" i="7" s="1"/>
  <c r="F119" i="7"/>
  <c r="F121" i="7" s="1"/>
  <c r="F143" i="7" s="1"/>
  <c r="F66" i="7"/>
  <c r="F72" i="7" s="1"/>
  <c r="F85" i="7" s="1"/>
  <c r="F88" i="7" s="1"/>
  <c r="F48" i="7"/>
  <c r="D61" i="7"/>
  <c r="D154" i="7"/>
  <c r="E146" i="7"/>
  <c r="E56" i="7"/>
  <c r="G8" i="7"/>
  <c r="E129" i="7"/>
  <c r="J108" i="7"/>
  <c r="J110" i="7" s="1"/>
  <c r="J55" i="7" s="1"/>
  <c r="I110" i="7"/>
  <c r="I55" i="7" s="1"/>
  <c r="I156" i="7" s="1"/>
  <c r="I153" i="7" s="1"/>
  <c r="F142" i="8" l="1"/>
  <c r="J152" i="8"/>
  <c r="I47" i="8"/>
  <c r="I65" i="8"/>
  <c r="I71" i="8" s="1"/>
  <c r="I84" i="8" s="1"/>
  <c r="H65" i="8"/>
  <c r="H71" i="8" s="1"/>
  <c r="H84" i="8" s="1"/>
  <c r="H47" i="8"/>
  <c r="H142" i="8"/>
  <c r="H124" i="8"/>
  <c r="J65" i="8"/>
  <c r="J71" i="8" s="1"/>
  <c r="J84" i="8" s="1"/>
  <c r="J47" i="8"/>
  <c r="J118" i="8"/>
  <c r="J120" i="8" s="1"/>
  <c r="I124" i="8"/>
  <c r="I142" i="8"/>
  <c r="E145" i="8"/>
  <c r="E128" i="8"/>
  <c r="E55" i="8"/>
  <c r="G7" i="8"/>
  <c r="D59" i="8"/>
  <c r="D153" i="8" s="1"/>
  <c r="F87" i="8"/>
  <c r="F125" i="7"/>
  <c r="I117" i="7"/>
  <c r="I119" i="7" s="1"/>
  <c r="I121" i="7" s="1"/>
  <c r="I143" i="7" s="1"/>
  <c r="J156" i="7"/>
  <c r="J114" i="7"/>
  <c r="J42" i="7"/>
  <c r="J144" i="7"/>
  <c r="J38" i="7"/>
  <c r="J148" i="7"/>
  <c r="J70" i="7"/>
  <c r="H125" i="7"/>
  <c r="H143" i="7"/>
  <c r="J149" i="7"/>
  <c r="J71" i="7"/>
  <c r="H66" i="7"/>
  <c r="H72" i="7" s="1"/>
  <c r="H85" i="7" s="1"/>
  <c r="H48" i="7"/>
  <c r="I66" i="7"/>
  <c r="I72" i="7" s="1"/>
  <c r="I85" i="7" s="1"/>
  <c r="I48" i="7"/>
  <c r="G87" i="7"/>
  <c r="G88" i="7" s="1"/>
  <c r="F52" i="7"/>
  <c r="E155" i="7"/>
  <c r="E60" i="7"/>
  <c r="G86" i="8" l="1"/>
  <c r="G87" i="8" s="1"/>
  <c r="F51" i="8"/>
  <c r="J124" i="8"/>
  <c r="E125" i="8" s="1"/>
  <c r="E127" i="8" s="1"/>
  <c r="J142" i="8"/>
  <c r="D60" i="8"/>
  <c r="E154" i="8"/>
  <c r="E59" i="8"/>
  <c r="E153" i="8" s="1"/>
  <c r="I125" i="7"/>
  <c r="J117" i="7"/>
  <c r="J43" i="7"/>
  <c r="J46" i="7"/>
  <c r="J47" i="7" s="1"/>
  <c r="J115" i="7"/>
  <c r="J153" i="7" s="1"/>
  <c r="E61" i="7"/>
  <c r="F60" i="7"/>
  <c r="F154" i="7" s="1"/>
  <c r="E154" i="7"/>
  <c r="H87" i="7"/>
  <c r="H88" i="7" s="1"/>
  <c r="G52" i="7"/>
  <c r="F146" i="7"/>
  <c r="F56" i="7"/>
  <c r="F155" i="7" s="1"/>
  <c r="F145" i="8" l="1"/>
  <c r="F55" i="8"/>
  <c r="F154" i="8" s="1"/>
  <c r="E133" i="8"/>
  <c r="J7" i="8" s="1"/>
  <c r="G6" i="8"/>
  <c r="G9" i="8" s="1"/>
  <c r="E130" i="8"/>
  <c r="F59" i="8"/>
  <c r="F153" i="8" s="1"/>
  <c r="E60" i="8"/>
  <c r="H86" i="8"/>
  <c r="H87" i="8" s="1"/>
  <c r="G51" i="8"/>
  <c r="J66" i="7"/>
  <c r="J72" i="7" s="1"/>
  <c r="J85" i="7" s="1"/>
  <c r="J48" i="7"/>
  <c r="J119" i="7"/>
  <c r="J121" i="7" s="1"/>
  <c r="I87" i="7"/>
  <c r="I88" i="7" s="1"/>
  <c r="H52" i="7"/>
  <c r="G60" i="7"/>
  <c r="F61" i="7"/>
  <c r="G56" i="7"/>
  <c r="G155" i="7" s="1"/>
  <c r="G146" i="7"/>
  <c r="G145" i="8" l="1"/>
  <c r="G55" i="8"/>
  <c r="G154" i="8" s="1"/>
  <c r="G59" i="8"/>
  <c r="G153" i="8" s="1"/>
  <c r="F60" i="8"/>
  <c r="H51" i="8"/>
  <c r="I86" i="8"/>
  <c r="I87" i="8" s="1"/>
  <c r="E135" i="8"/>
  <c r="J9" i="8" s="1"/>
  <c r="E134" i="8"/>
  <c r="J8" i="8" s="1"/>
  <c r="J125" i="7"/>
  <c r="E126" i="7" s="1"/>
  <c r="E128" i="7" s="1"/>
  <c r="J143" i="7"/>
  <c r="H60" i="7"/>
  <c r="H154" i="7" s="1"/>
  <c r="G61" i="7"/>
  <c r="H146" i="7"/>
  <c r="H56" i="7"/>
  <c r="H155" i="7" s="1"/>
  <c r="G154" i="7"/>
  <c r="I52" i="7"/>
  <c r="J87" i="7"/>
  <c r="J88" i="7" s="1"/>
  <c r="J52" i="7" s="1"/>
  <c r="J86" i="8" l="1"/>
  <c r="J87" i="8" s="1"/>
  <c r="J51" i="8" s="1"/>
  <c r="I51" i="8"/>
  <c r="H59" i="8"/>
  <c r="H153" i="8" s="1"/>
  <c r="G60" i="8"/>
  <c r="H145" i="8"/>
  <c r="H55" i="8"/>
  <c r="H154" i="8" s="1"/>
  <c r="E131" i="7"/>
  <c r="G7" i="7"/>
  <c r="G10" i="7" s="1"/>
  <c r="E134" i="7"/>
  <c r="J8" i="7" s="1"/>
  <c r="J146" i="7"/>
  <c r="J56" i="7"/>
  <c r="J155" i="7" s="1"/>
  <c r="I146" i="7"/>
  <c r="I56" i="7"/>
  <c r="I155" i="7" s="1"/>
  <c r="I60" i="7"/>
  <c r="I154" i="7" s="1"/>
  <c r="H61" i="7"/>
  <c r="I59" i="8" l="1"/>
  <c r="I153" i="8" s="1"/>
  <c r="H60" i="8"/>
  <c r="I145" i="8"/>
  <c r="I55" i="8"/>
  <c r="I154" i="8" s="1"/>
  <c r="J55" i="8"/>
  <c r="J154" i="8" s="1"/>
  <c r="J145" i="8"/>
  <c r="E136" i="7"/>
  <c r="J10" i="7" s="1"/>
  <c r="E135" i="7"/>
  <c r="J9" i="7" s="1"/>
  <c r="J60" i="7"/>
  <c r="J61" i="7" s="1"/>
  <c r="I61" i="7"/>
  <c r="J59" i="8" l="1"/>
  <c r="J60" i="8" s="1"/>
  <c r="I60" i="8"/>
  <c r="J154" i="7"/>
  <c r="J153" i="8" l="1"/>
</calcChain>
</file>

<file path=xl/sharedStrings.xml><?xml version="1.0" encoding="utf-8"?>
<sst xmlns="http://schemas.openxmlformats.org/spreadsheetml/2006/main" count="310" uniqueCount="107">
  <si>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</si>
  <si>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</si>
  <si>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EXAMPLE</t>
  </si>
  <si>
    <t>EBIT</t>
  </si>
  <si>
    <t>ASSUMPTIONS</t>
  </si>
  <si>
    <t>TAX RATE</t>
  </si>
  <si>
    <t>CASH</t>
  </si>
  <si>
    <t>CAPEX</t>
  </si>
  <si>
    <t>TERMINAL VALUE</t>
  </si>
  <si>
    <t>ENTERPRISE VALUE</t>
  </si>
  <si>
    <t>EQUITY VALUE</t>
  </si>
  <si>
    <t>DCF VALUATION MODEL TEMPLATE</t>
  </si>
  <si>
    <t>%</t>
    <phoneticPr fontId="2" type="noConversion"/>
  </si>
  <si>
    <t>WACC</t>
  </si>
  <si>
    <t>Cash</t>
    <phoneticPr fontId="2" type="noConversion"/>
  </si>
  <si>
    <t>EV/EBITDA</t>
  </si>
  <si>
    <t>PE</t>
  </si>
  <si>
    <t>P/B</t>
  </si>
  <si>
    <t>Financial Debt</t>
    <phoneticPr fontId="2" type="noConversion"/>
  </si>
  <si>
    <t>Year</t>
  </si>
  <si>
    <t>Days Sales</t>
  </si>
  <si>
    <t>Days COGS</t>
  </si>
  <si>
    <t>COGS</t>
    <phoneticPr fontId="2" type="noConversion"/>
  </si>
  <si>
    <t>OPEX</t>
    <phoneticPr fontId="13" type="noConversion"/>
  </si>
  <si>
    <t>EBITDA</t>
  </si>
  <si>
    <t>EBT</t>
  </si>
  <si>
    <t>CAPEX</t>
    <phoneticPr fontId="2" type="noConversion"/>
  </si>
  <si>
    <t>CASH FLOW STATEMENT</t>
  </si>
  <si>
    <t>KEY FINANCIAL RATIOS</t>
  </si>
  <si>
    <t>TANGIBLE FIXED ASSETS</t>
  </si>
  <si>
    <t>BALANCE SHEET</t>
  </si>
  <si>
    <t>INCOME STATEMENT</t>
  </si>
  <si>
    <t>FINANCIAL OVERVIEW</t>
  </si>
  <si>
    <t>VALUATION CONSIDERATIONS</t>
  </si>
  <si>
    <t>DCF VALUATION</t>
  </si>
  <si>
    <t>FIRST FORECAST YEAR</t>
  </si>
  <si>
    <t>INTEREST RATE</t>
  </si>
  <si>
    <t>DAYS RECEIVABLES</t>
  </si>
  <si>
    <t>DAYS INVENTORY</t>
  </si>
  <si>
    <t>DAYS PAYABLES</t>
  </si>
  <si>
    <t>IMPLIED MULTIPLES</t>
  </si>
  <si>
    <t>ADJUSTED TAX (1-T)</t>
  </si>
  <si>
    <t>ADDBACK D&amp;A</t>
  </si>
  <si>
    <t>CHANGE IN NWC</t>
  </si>
  <si>
    <t>SUBTOTAL</t>
  </si>
  <si>
    <t>FREE CASH FLOW TO FIRM (FCFF)</t>
  </si>
  <si>
    <t xml:space="preserve"> </t>
  </si>
  <si>
    <t>DISCOUNTING PERIOD</t>
  </si>
  <si>
    <t>DISCOUNT FACTOR</t>
  </si>
  <si>
    <t>DISCOUNTED FREE CASH FLOWS</t>
  </si>
  <si>
    <t>NET PRESENT VALUE</t>
  </si>
  <si>
    <t>FINANCIAL DEBT</t>
  </si>
  <si>
    <t>DCF ANALYSIS</t>
  </si>
  <si>
    <t>FIXED ASSETS (GROSS)</t>
  </si>
  <si>
    <t>DEPRECIATION PERIOD</t>
  </si>
  <si>
    <t>DEPRECIATION</t>
  </si>
  <si>
    <t>ACCUMULATED DEPRECIATION</t>
  </si>
  <si>
    <t>FIXED ASSETS (NET)</t>
  </si>
  <si>
    <t>N/A</t>
  </si>
  <si>
    <t>enter no. of years</t>
  </si>
  <si>
    <t>REVENUES</t>
  </si>
  <si>
    <t>GROWTH</t>
  </si>
  <si>
    <t>GROSS MARGIN</t>
  </si>
  <si>
    <t>SALES &amp; MARKETING</t>
  </si>
  <si>
    <t>GENERAL &amp; ADMIN</t>
  </si>
  <si>
    <t>OTHER OPERATING EXPENSES</t>
  </si>
  <si>
    <t>DEPRECIATION AND AMORTIZATION</t>
  </si>
  <si>
    <t>TAXES PAID</t>
  </si>
  <si>
    <t>NET INCOME</t>
  </si>
  <si>
    <t>FINANCIAL DEBT / EBITDA</t>
  </si>
  <si>
    <t>DEBT SERVICE COVERAGE</t>
  </si>
  <si>
    <t>EBIT/INTEREST</t>
  </si>
  <si>
    <t>CURRENT RATIO</t>
  </si>
  <si>
    <t>EBITDA MARGIN</t>
  </si>
  <si>
    <t>REVENUE GROWTH</t>
  </si>
  <si>
    <t>ROIC</t>
  </si>
  <si>
    <t>ROE</t>
  </si>
  <si>
    <t>REVENUES/ASSETS</t>
  </si>
  <si>
    <t>INVESTED CAPITAL</t>
  </si>
  <si>
    <t>RECEIVABLES</t>
  </si>
  <si>
    <t>INVENTORY</t>
  </si>
  <si>
    <t>FIXED ASSETS</t>
  </si>
  <si>
    <t>TOTAL ASSETS</t>
  </si>
  <si>
    <t>PAYABLES</t>
  </si>
  <si>
    <t>EQUITY</t>
  </si>
  <si>
    <t>LIABILITIES &amp; SHAREHOLDER'S EQUITY</t>
  </si>
  <si>
    <t>CASH FLOW FROM OPERATIONS (CFO)</t>
  </si>
  <si>
    <t>ADDBACK INTEREST</t>
  </si>
  <si>
    <t>CHANGE IN RECEIVABLES</t>
  </si>
  <si>
    <t>CHANGE IN INVENTORY</t>
  </si>
  <si>
    <t>CHANGE IN PAYABLES</t>
  </si>
  <si>
    <t>CFO</t>
  </si>
  <si>
    <t>INVESTING CASH FLOW (CFI)</t>
  </si>
  <si>
    <t>CFI</t>
  </si>
  <si>
    <t>CASH FLOW FROM FINANCING</t>
  </si>
  <si>
    <t>CHANGE IN FINANCIAL DEBT</t>
  </si>
  <si>
    <t>INTEREST CHARGES</t>
  </si>
  <si>
    <t>EQUITY FINANCING</t>
  </si>
  <si>
    <t>DIVIDENDS</t>
  </si>
  <si>
    <t>CHANGE IN CASH</t>
  </si>
  <si>
    <t>CASH BEGINNING</t>
  </si>
  <si>
    <t>CASH END OF MONTH</t>
  </si>
  <si>
    <r>
      <t xml:space="preserve">DISCOUNTING PERIOD </t>
    </r>
    <r>
      <rPr>
        <sz val="9"/>
        <color rgb="FF000000"/>
        <rFont val="Century Gothic"/>
        <family val="1"/>
      </rPr>
      <t xml:space="preserve"> in years</t>
    </r>
  </si>
  <si>
    <t>DCF VALUATION MODEL</t>
  </si>
  <si>
    <t>TV EV/EBITDA Multiple</t>
  </si>
  <si>
    <t>INTEREST PAYMENT</t>
  </si>
  <si>
    <t>User to complete non-shaded fields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</si>
</sst>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_(* \(#,##0\);_(* &quot;-&quot;??_);_(@_)"/>
    <numFmt numFmtId="166" formatCode="0000\ \A"/>
    <numFmt numFmtId="167" formatCode="0000\ \F"/>
    <numFmt numFmtId="168" formatCode="0.0\x"/>
    <numFmt numFmtId="169" formatCode="0.0%"/>
    <numFmt numFmtId="170" formatCode="[$$-409]#,##0"/>
    <numFmt numFmtId="171" formatCode="0.000"/>
  </numFmts>
  <fonts count="35"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16"/>
      <color rgb="FF000000"/>
      <name val="Century Gothic"/>
      <family val="1"/>
    </font>
    <font>
      <sz val="10"/>
      <color indexed="8"/>
      <name val="Century Gothic"/>
      <family val="1"/>
    </font>
    <font>
      <b/>
      <sz val="10"/>
      <color theme="1"/>
      <name val="Century Gothic"/>
      <family val="1"/>
    </font>
    <font>
      <i/>
      <sz val="10"/>
      <color theme="1"/>
      <name val="Century Gothic"/>
      <family val="1"/>
    </font>
    <font>
      <sz val="10"/>
      <name val="Century Gothic"/>
      <family val="1"/>
    </font>
    <font>
      <i/>
      <sz val="8"/>
      <color rgb="FF000000"/>
      <name val="Century Gothic"/>
      <family val="1"/>
    </font>
    <font>
      <sz val="12"/>
      <color theme="1"/>
      <name val="Century Gothic"/>
      <family val="1"/>
    </font>
    <font>
      <sz val="11"/>
      <color indexed="8"/>
      <name val="Calibri"/>
      <family val="2"/>
      <scheme val="minor"/>
    </font>
    <font>
      <b/>
      <sz val="10"/>
      <name val="Century Gothic"/>
      <family val="1"/>
    </font>
    <font>
      <b/>
      <sz val="10"/>
      <color indexed="8"/>
      <name val="Century Gothic"/>
      <family val="1"/>
    </font>
    <font>
      <i/>
      <sz val="10"/>
      <name val="Century Gothic"/>
      <family val="1"/>
    </font>
    <font>
      <sz val="10"/>
      <color indexed="12"/>
      <name val="Century Gothic"/>
      <family val="1"/>
    </font>
    <font>
      <u/>
      <sz val="10"/>
      <name val="Century Gothic"/>
      <family val="1"/>
    </font>
    <font>
      <sz val="10"/>
      <color indexed="63"/>
      <name val="Century Gothic"/>
      <family val="1"/>
    </font>
    <font>
      <sz val="10"/>
      <color indexed="23"/>
      <name val="Century Gothic"/>
      <family val="1"/>
    </font>
    <font>
      <sz val="16"/>
      <color indexed="8"/>
      <name val="Century Gothic"/>
      <family val="1"/>
    </font>
    <font>
      <sz val="16"/>
      <color theme="1"/>
      <name val="Century Gothic"/>
      <family val="1"/>
    </font>
    <font>
      <sz val="16"/>
      <name val="Century Gothic"/>
      <family val="1"/>
    </font>
    <font>
      <sz val="12"/>
      <color indexed="8"/>
      <name val="Calibri"/>
      <family val="2"/>
      <scheme val="minor"/>
    </font>
    <font>
      <sz val="12"/>
      <color indexed="9"/>
      <name val="Century Gothic"/>
      <family val="1"/>
    </font>
    <font>
      <b/>
      <sz val="12"/>
      <color theme="1"/>
      <name val="Century Gothic"/>
      <family val="1"/>
    </font>
    <font>
      <sz val="11"/>
      <name val="Century Gothic"/>
      <family val="1"/>
    </font>
    <font>
      <sz val="14"/>
      <name val="Century Gothic"/>
      <family val="1"/>
    </font>
    <font>
      <b/>
      <i/>
      <sz val="10"/>
      <color theme="1"/>
      <name val="Century Gothic"/>
      <family val="1"/>
    </font>
    <font>
      <sz val="16"/>
      <color theme="0" tint="-0.499984740745262"/>
      <name val="Century Gothic"/>
      <family val="1"/>
    </font>
    <font>
      <sz val="9"/>
      <color rgb="FF000000"/>
      <name val="Century Gothic"/>
      <family val="1"/>
    </font>
    <font>
      <b/>
      <sz val="22"/>
      <color theme="0"/>
      <name val="Century Gothic"/>
      <family val="2"/>
    </font>
  </fonts>
  <fills count="11">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rgb="FFE5E5E5"/>
      </patternFill>
    </fill>
    <fill>
      <patternFill patternType="solid">
        <fgColor theme="0" tint="-4.9989318521683403E-2"/>
        <bgColor rgb="FFE5E5E5"/>
      </patternFill>
    </fill>
  </fills>
  <borders count="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top/>
      <bottom style="hair">
        <color auto="1"/>
      </bottom>
      <diagonal/>
    </border>
    <border>
      <left/>
      <right/>
      <top/>
      <bottom style="hair">
        <color indexed="56"/>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style="thin">
        <color theme="0" tint="-0.249977111117893"/>
      </left>
      <right/>
      <top/>
      <bottom style="hair">
        <color indexed="56"/>
      </bottom>
      <diagonal/>
    </border>
    <border>
      <left style="thin">
        <color theme="0" tint="-0.249977111117893"/>
      </left>
      <right/>
      <top/>
      <bottom style="hair">
        <color auto="1"/>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style="medium">
        <color theme="0" tint="-0.249977111117893"/>
      </right>
      <top/>
      <bottom/>
      <diagonal/>
    </border>
    <border>
      <left/>
      <right style="medium">
        <color theme="0" tint="-0.249977111117893"/>
      </right>
      <top style="thin">
        <color theme="0" tint="-0.249977111117893"/>
      </top>
      <bottom/>
      <diagonal/>
    </border>
    <border>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hair">
        <color auto="1"/>
      </bottom>
      <diagonal/>
    </border>
    <border>
      <left/>
      <right style="medium">
        <color theme="0" tint="-0.249977111117893"/>
      </right>
      <top/>
      <bottom style="medium">
        <color theme="0" tint="-0.249977111117893"/>
      </bottom>
      <diagonal/>
    </border>
    <border>
      <left style="thin">
        <color theme="0" tint="-0.249977111117893"/>
      </left>
      <right/>
      <top style="thin">
        <color theme="0" tint="-0.249977111117893"/>
      </top>
      <bottom style="thin">
        <color rgb="FFEAEEF3"/>
      </bottom>
      <diagonal/>
    </border>
    <border>
      <left/>
      <right/>
      <top style="thin">
        <color theme="0" tint="-0.249977111117893"/>
      </top>
      <bottom style="thin">
        <color rgb="FFEAEEF3"/>
      </bottom>
      <diagonal/>
    </border>
    <border>
      <left/>
      <right style="medium">
        <color theme="0" tint="-0.249977111117893"/>
      </right>
      <top style="thin">
        <color theme="0" tint="-0.249977111117893"/>
      </top>
      <bottom style="thin">
        <color rgb="FFEAEEF3"/>
      </bottom>
      <diagonal/>
    </border>
    <border>
      <left style="thin">
        <color theme="0" tint="-0.249977111117893"/>
      </left>
      <right/>
      <top/>
      <bottom style="thin">
        <color rgb="FFEAEEF3"/>
      </bottom>
      <diagonal/>
    </border>
    <border>
      <left/>
      <right/>
      <top/>
      <bottom style="thin">
        <color rgb="FFEAEEF3"/>
      </bottom>
      <diagonal/>
    </border>
    <border>
      <left/>
      <right style="medium">
        <color theme="0" tint="-0.249977111117893"/>
      </right>
      <top/>
      <bottom style="thin">
        <color rgb="FFEAEEF3"/>
      </bottom>
      <diagonal/>
    </border>
    <border>
      <left style="thin">
        <color theme="0" tint="-0.249977111117893"/>
      </left>
      <right style="medium">
        <color theme="0" tint="-0.249977111117893"/>
      </right>
      <top/>
      <bottom style="medium">
        <color theme="0" tint="-0.249977111117893"/>
      </bottom>
      <diagonal/>
    </border>
  </borders>
  <cellStyleXfs count="8">
    <xf numFmtId="0" fontId="0" fillId="0" borderId="0"/>
    <xf numFmtId="0" fontId="1" fillId="0" borderId="0" applyNumberFormat="0" applyFill="0" applyBorder="0" applyAlignment="0" applyProtection="0"/>
    <xf numFmtId="0" fontId="2" fillId="2" borderId="0"/>
    <xf numFmtId="164" fontId="2" fillId="2" borderId="0" applyFont="0" applyFill="0" applyBorder="0" applyAlignment="0" applyProtection="0"/>
    <xf numFmtId="0" fontId="1" fillId="2" borderId="0" applyNumberFormat="0" applyFill="0" applyBorder="0" applyAlignment="0" applyProtection="0"/>
    <xf numFmtId="9" fontId="2" fillId="2"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cellStyleXfs>
  <cellXfs count="238">
    <xf numFmtId="0" fontId="0" fillId="0" borderId="0" xfId="0"/>
    <xf numFmtId="0" fontId="0" fillId="0" borderId="0" xfId="0"/>
    <xf numFmtId="0" fontId="0" fillId="0" borderId="0" xfId="0" applyAlignment="1">
      <alignment horizontal="left" vertical="center" indent="1"/>
    </xf>
    <xf numFmtId="0" fontId="5" fillId="0" borderId="0" xfId="0" applyFont="1" applyAlignment="1">
      <alignment horizontal="left" vertical="center" wrapText="1" indent="1"/>
    </xf>
    <xf numFmtId="0" fontId="6" fillId="3"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4" fillId="0" borderId="0" xfId="0" applyFont="1" applyFill="1" applyBorder="1" applyAlignment="1" applyProtection="1">
      <alignment horizontal="left" vertical="center" wrapText="1"/>
      <protection locked="0"/>
    </xf>
    <xf numFmtId="0" fontId="3" fillId="0" borderId="0" xfId="0" applyFont="1" applyAlignment="1" applyProtection="1">
      <protection locked="0"/>
    </xf>
    <xf numFmtId="0" fontId="9" fillId="0" borderId="0" xfId="0" applyFont="1" applyAlignment="1">
      <alignment vertical="center"/>
    </xf>
    <xf numFmtId="0" fontId="9" fillId="5" borderId="1" xfId="0" applyFont="1" applyFill="1" applyBorder="1" applyAlignment="1">
      <alignment horizontal="left" vertical="center" indent="1"/>
    </xf>
    <xf numFmtId="0" fontId="9" fillId="5" borderId="3" xfId="0" applyFont="1" applyFill="1" applyBorder="1" applyAlignment="1">
      <alignment horizontal="left" vertical="center" indent="1"/>
    </xf>
    <xf numFmtId="0" fontId="9" fillId="6" borderId="1" xfId="0" applyFont="1" applyFill="1" applyBorder="1" applyAlignment="1">
      <alignment horizontal="left" vertical="center" indent="1"/>
    </xf>
    <xf numFmtId="0" fontId="9" fillId="6" borderId="3" xfId="0" applyFont="1" applyFill="1" applyBorder="1" applyAlignment="1">
      <alignment horizontal="left" vertical="center" indent="1"/>
    </xf>
    <xf numFmtId="0" fontId="5" fillId="0" borderId="0" xfId="0" applyFont="1" applyFill="1" applyBorder="1"/>
    <xf numFmtId="0" fontId="12" fillId="0" borderId="0" xfId="0" applyFont="1" applyBorder="1"/>
    <xf numFmtId="0" fontId="5" fillId="0" borderId="0" xfId="0" applyFont="1" applyBorder="1"/>
    <xf numFmtId="0" fontId="24" fillId="0" borderId="0" xfId="0" applyFont="1" applyFill="1" applyBorder="1"/>
    <xf numFmtId="0" fontId="23" fillId="0" borderId="0" xfId="0" applyFont="1" applyAlignment="1" applyProtection="1">
      <alignment vertical="center"/>
      <protection locked="0"/>
    </xf>
    <xf numFmtId="0" fontId="24" fillId="0" borderId="0" xfId="0" applyFont="1" applyFill="1" applyBorder="1" applyAlignment="1">
      <alignment vertical="center"/>
    </xf>
    <xf numFmtId="0" fontId="23" fillId="0" borderId="0" xfId="0" applyFont="1" applyAlignment="1">
      <alignment vertical="center"/>
    </xf>
    <xf numFmtId="0" fontId="24" fillId="0" borderId="0" xfId="0" applyFont="1" applyAlignment="1">
      <alignment vertical="center"/>
    </xf>
    <xf numFmtId="171" fontId="24" fillId="0" borderId="0" xfId="0" applyNumberFormat="1" applyFont="1" applyAlignment="1">
      <alignment vertical="center"/>
    </xf>
    <xf numFmtId="169" fontId="24" fillId="0" borderId="0" xfId="0" applyNumberFormat="1" applyFont="1" applyAlignment="1">
      <alignment vertical="center"/>
    </xf>
    <xf numFmtId="165" fontId="23" fillId="0" borderId="0" xfId="6" applyNumberFormat="1" applyFont="1" applyBorder="1" applyAlignment="1">
      <alignment vertical="center"/>
    </xf>
    <xf numFmtId="0" fontId="25" fillId="2" borderId="0" xfId="0" applyFont="1" applyFill="1" applyBorder="1" applyAlignment="1">
      <alignment vertical="center"/>
    </xf>
    <xf numFmtId="0" fontId="25" fillId="0" borderId="0" xfId="0" applyFont="1" applyAlignment="1">
      <alignment vertical="center"/>
    </xf>
    <xf numFmtId="37" fontId="12" fillId="0" borderId="0" xfId="0" applyNumberFormat="1" applyFont="1" applyBorder="1" applyAlignment="1">
      <alignment vertical="center"/>
    </xf>
    <xf numFmtId="37" fontId="21" fillId="0" borderId="0" xfId="0" applyNumberFormat="1" applyFont="1" applyBorder="1" applyAlignment="1">
      <alignment vertical="center"/>
    </xf>
    <xf numFmtId="37" fontId="12" fillId="0" borderId="0" xfId="6" applyNumberFormat="1" applyFont="1" applyBorder="1" applyAlignment="1">
      <alignment vertical="center"/>
    </xf>
    <xf numFmtId="37" fontId="22" fillId="0" borderId="0" xfId="0" applyNumberFormat="1" applyFont="1" applyBorder="1" applyAlignment="1">
      <alignment vertical="center"/>
    </xf>
    <xf numFmtId="37" fontId="22" fillId="0" borderId="0" xfId="6" applyNumberFormat="1" applyFont="1" applyBorder="1" applyAlignment="1">
      <alignment vertical="center"/>
    </xf>
    <xf numFmtId="0" fontId="12" fillId="0" borderId="0" xfId="0" applyFont="1" applyBorder="1" applyAlignment="1">
      <alignment vertical="center"/>
    </xf>
    <xf numFmtId="0" fontId="16" fillId="0" borderId="0" xfId="0" applyFont="1" applyBorder="1" applyAlignment="1">
      <alignment vertical="center"/>
    </xf>
    <xf numFmtId="37" fontId="16" fillId="0" borderId="0" xfId="0" applyNumberFormat="1" applyFont="1" applyBorder="1" applyAlignment="1">
      <alignment vertical="center"/>
    </xf>
    <xf numFmtId="0" fontId="12" fillId="0" borderId="0" xfId="0" applyFont="1" applyAlignment="1">
      <alignment vertical="center"/>
    </xf>
    <xf numFmtId="169" fontId="12" fillId="0" borderId="0" xfId="0" applyNumberFormat="1" applyFont="1" applyAlignment="1">
      <alignment vertical="center"/>
    </xf>
    <xf numFmtId="0" fontId="0" fillId="0" borderId="0" xfId="0" applyAlignment="1">
      <alignment vertical="center"/>
    </xf>
    <xf numFmtId="0" fontId="20" fillId="0" borderId="0" xfId="0" applyFont="1" applyBorder="1" applyAlignment="1">
      <alignment vertical="center"/>
    </xf>
    <xf numFmtId="37" fontId="20" fillId="0" borderId="0" xfId="0" applyNumberFormat="1" applyFont="1" applyBorder="1" applyAlignment="1">
      <alignment vertical="center"/>
    </xf>
    <xf numFmtId="165" fontId="12" fillId="0" borderId="0" xfId="0" applyNumberFormat="1" applyFont="1" applyBorder="1" applyAlignment="1">
      <alignment vertical="center"/>
    </xf>
    <xf numFmtId="37" fontId="12" fillId="2" borderId="0" xfId="0" applyNumberFormat="1" applyFont="1" applyFill="1" applyBorder="1" applyAlignment="1">
      <alignment vertical="center"/>
    </xf>
    <xf numFmtId="0" fontId="12" fillId="6" borderId="1" xfId="0" applyFont="1" applyFill="1" applyBorder="1" applyAlignment="1">
      <alignment horizontal="left" vertical="center" indent="1"/>
    </xf>
    <xf numFmtId="0" fontId="12" fillId="5" borderId="1" xfId="0" applyFont="1" applyFill="1" applyBorder="1" applyAlignment="1">
      <alignment horizontal="left" vertical="center" indent="1"/>
    </xf>
    <xf numFmtId="0" fontId="17" fillId="0" borderId="0" xfId="0" applyFont="1" applyBorder="1" applyAlignment="1">
      <alignment horizontal="center" vertical="center"/>
    </xf>
    <xf numFmtId="0" fontId="0" fillId="0" borderId="0" xfId="0" applyBorder="1" applyAlignment="1">
      <alignment vertical="center"/>
    </xf>
    <xf numFmtId="0" fontId="5" fillId="0" borderId="18" xfId="0" applyFont="1" applyFill="1" applyBorder="1" applyAlignment="1">
      <alignment horizontal="center" vertical="center"/>
    </xf>
    <xf numFmtId="9" fontId="5" fillId="0" borderId="18" xfId="2" applyNumberFormat="1" applyFont="1" applyFill="1" applyBorder="1" applyAlignment="1">
      <alignment horizontal="center" vertical="center"/>
    </xf>
    <xf numFmtId="37" fontId="5" fillId="0" borderId="18" xfId="0" applyNumberFormat="1" applyFont="1" applyFill="1" applyBorder="1" applyAlignment="1">
      <alignment horizontal="center" vertical="center"/>
    </xf>
    <xf numFmtId="0" fontId="12" fillId="6" borderId="3" xfId="0" applyFont="1" applyFill="1" applyBorder="1" applyAlignment="1">
      <alignment horizontal="left" vertical="center" indent="1"/>
    </xf>
    <xf numFmtId="0" fontId="12" fillId="5" borderId="3" xfId="0" applyFont="1" applyFill="1" applyBorder="1" applyAlignment="1">
      <alignment horizontal="left" vertical="center" indent="1"/>
    </xf>
    <xf numFmtId="37" fontId="5" fillId="0" borderId="19" xfId="0" applyNumberFormat="1" applyFont="1" applyFill="1" applyBorder="1" applyAlignment="1">
      <alignment horizontal="center" vertical="center"/>
    </xf>
    <xf numFmtId="0" fontId="17" fillId="7" borderId="3" xfId="0" applyFont="1" applyFill="1" applyBorder="1" applyAlignment="1">
      <alignment horizontal="left" vertical="center" indent="1"/>
    </xf>
    <xf numFmtId="37" fontId="17" fillId="7" borderId="19" xfId="0" applyNumberFormat="1" applyFont="1" applyFill="1" applyBorder="1" applyAlignment="1">
      <alignment vertical="center"/>
    </xf>
    <xf numFmtId="0" fontId="16" fillId="7" borderId="8" xfId="0" applyFont="1" applyFill="1" applyBorder="1" applyAlignment="1">
      <alignment horizontal="left" vertical="center" indent="1"/>
    </xf>
    <xf numFmtId="37" fontId="16" fillId="7" borderId="21" xfId="0" applyNumberFormat="1" applyFont="1" applyFill="1" applyBorder="1" applyAlignment="1">
      <alignment vertical="center"/>
    </xf>
    <xf numFmtId="0" fontId="12" fillId="7" borderId="6" xfId="0" applyFont="1" applyFill="1" applyBorder="1" applyAlignment="1">
      <alignment horizontal="left" vertical="center" indent="1"/>
    </xf>
    <xf numFmtId="0" fontId="9" fillId="7" borderId="3" xfId="0" applyFont="1" applyFill="1" applyBorder="1" applyAlignment="1">
      <alignment horizontal="left" vertical="center" indent="1"/>
    </xf>
    <xf numFmtId="0" fontId="16" fillId="7" borderId="4" xfId="0" applyFont="1" applyFill="1" applyBorder="1" applyAlignment="1">
      <alignment horizontal="left" vertical="center" indent="1"/>
    </xf>
    <xf numFmtId="167" fontId="16" fillId="7" borderId="24" xfId="0" applyNumberFormat="1" applyFont="1" applyFill="1" applyBorder="1" applyAlignment="1">
      <alignment vertical="center"/>
    </xf>
    <xf numFmtId="0" fontId="12" fillId="7" borderId="1" xfId="0" applyFont="1" applyFill="1" applyBorder="1" applyAlignment="1">
      <alignment horizontal="left" vertical="center" indent="1"/>
    </xf>
    <xf numFmtId="0" fontId="12" fillId="7" borderId="3" xfId="0" applyFont="1" applyFill="1" applyBorder="1" applyAlignment="1">
      <alignment horizontal="left" vertical="center" indent="1"/>
    </xf>
    <xf numFmtId="37" fontId="12" fillId="8" borderId="20" xfId="0" applyNumberFormat="1" applyFont="1" applyFill="1" applyBorder="1" applyAlignment="1">
      <alignment vertical="center"/>
    </xf>
    <xf numFmtId="37" fontId="9" fillId="8" borderId="19" xfId="0" applyNumberFormat="1" applyFont="1" applyFill="1" applyBorder="1" applyAlignment="1">
      <alignment vertical="center"/>
    </xf>
    <xf numFmtId="168" fontId="12" fillId="8" borderId="20" xfId="0" applyNumberFormat="1" applyFont="1" applyFill="1" applyBorder="1" applyAlignment="1">
      <alignment horizontal="center" vertical="center"/>
    </xf>
    <xf numFmtId="168" fontId="12" fillId="8" borderId="18" xfId="0" applyNumberFormat="1" applyFont="1" applyFill="1" applyBorder="1" applyAlignment="1">
      <alignment horizontal="center" vertical="center"/>
    </xf>
    <xf numFmtId="168" fontId="12" fillId="8" borderId="19" xfId="0" applyNumberFormat="1" applyFont="1" applyFill="1" applyBorder="1" applyAlignment="1">
      <alignment horizontal="center" vertical="center"/>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left" vertical="center" wrapText="1"/>
      <protection locked="0"/>
    </xf>
    <xf numFmtId="0" fontId="14" fillId="0" borderId="0" xfId="0" applyFont="1" applyFill="1" applyBorder="1" applyAlignment="1">
      <alignment vertical="center"/>
    </xf>
    <xf numFmtId="166" fontId="14" fillId="0" borderId="0" xfId="0" applyNumberFormat="1" applyFont="1" applyFill="1" applyBorder="1" applyAlignment="1">
      <alignment vertical="center"/>
    </xf>
    <xf numFmtId="167" fontId="14" fillId="0" borderId="0" xfId="0" applyNumberFormat="1" applyFont="1" applyFill="1" applyBorder="1" applyAlignment="1">
      <alignment vertical="center"/>
    </xf>
    <xf numFmtId="0" fontId="26" fillId="0" borderId="0" xfId="0" applyFont="1"/>
    <xf numFmtId="166" fontId="14" fillId="0" borderId="0" xfId="0" applyNumberFormat="1" applyFont="1" applyFill="1" applyAlignment="1">
      <alignment vertical="center"/>
    </xf>
    <xf numFmtId="167" fontId="14" fillId="0" borderId="0" xfId="0" applyNumberFormat="1" applyFont="1" applyFill="1" applyAlignment="1">
      <alignment vertical="center"/>
    </xf>
    <xf numFmtId="0" fontId="27" fillId="0" borderId="0" xfId="0" applyFont="1" applyFill="1" applyBorder="1" applyAlignment="1">
      <alignment vertical="center"/>
    </xf>
    <xf numFmtId="166" fontId="14" fillId="0" borderId="0" xfId="0" applyNumberFormat="1" applyFont="1" applyFill="1" applyAlignment="1">
      <alignment horizontal="right" vertical="center"/>
    </xf>
    <xf numFmtId="167" fontId="14" fillId="0" borderId="0" xfId="0" applyNumberFormat="1" applyFont="1" applyFill="1" applyAlignment="1">
      <alignment horizontal="right" vertical="center"/>
    </xf>
    <xf numFmtId="0" fontId="28" fillId="0" borderId="0" xfId="0" applyFont="1" applyFill="1" applyBorder="1" applyAlignment="1">
      <alignment vertical="center"/>
    </xf>
    <xf numFmtId="37" fontId="12" fillId="0" borderId="0" xfId="0" applyNumberFormat="1" applyFont="1" applyBorder="1" applyAlignment="1">
      <alignment horizontal="left" vertical="center" indent="1"/>
    </xf>
    <xf numFmtId="0" fontId="21" fillId="0" borderId="0" xfId="0" applyFont="1" applyBorder="1" applyAlignment="1">
      <alignment horizontal="left" vertical="center" indent="1"/>
    </xf>
    <xf numFmtId="37" fontId="22" fillId="0" borderId="0" xfId="0" applyNumberFormat="1" applyFont="1" applyBorder="1" applyAlignment="1">
      <alignment horizontal="left" vertical="center" indent="1"/>
    </xf>
    <xf numFmtId="37" fontId="12" fillId="6" borderId="1" xfId="0" applyNumberFormat="1" applyFont="1" applyFill="1" applyBorder="1" applyAlignment="1">
      <alignment vertical="center"/>
    </xf>
    <xf numFmtId="37" fontId="12" fillId="5" borderId="1" xfId="0" applyNumberFormat="1" applyFont="1" applyFill="1" applyBorder="1" applyAlignment="1">
      <alignment vertical="center"/>
    </xf>
    <xf numFmtId="37" fontId="12" fillId="9" borderId="1" xfId="0" applyNumberFormat="1" applyFont="1" applyFill="1" applyBorder="1" applyAlignment="1">
      <alignment vertical="center"/>
    </xf>
    <xf numFmtId="37" fontId="18" fillId="0" borderId="0" xfId="0" applyNumberFormat="1" applyFont="1" applyBorder="1" applyAlignment="1">
      <alignment horizontal="left" vertical="center" indent="1"/>
    </xf>
    <xf numFmtId="37" fontId="30" fillId="0" borderId="0" xfId="0" applyNumberFormat="1" applyFont="1" applyBorder="1" applyAlignment="1">
      <alignment vertical="center"/>
    </xf>
    <xf numFmtId="37" fontId="12" fillId="5" borderId="18" xfId="0" applyNumberFormat="1" applyFont="1" applyFill="1" applyBorder="1" applyAlignment="1">
      <alignment vertical="center"/>
    </xf>
    <xf numFmtId="166" fontId="21" fillId="5" borderId="1" xfId="0" applyNumberFormat="1" applyFont="1" applyFill="1" applyBorder="1" applyAlignment="1">
      <alignment horizontal="right" vertical="center" indent="1"/>
    </xf>
    <xf numFmtId="37" fontId="5" fillId="5" borderId="1" xfId="0" applyNumberFormat="1" applyFont="1" applyFill="1" applyBorder="1" applyAlignment="1">
      <alignment vertical="center"/>
    </xf>
    <xf numFmtId="167" fontId="21" fillId="5" borderId="1" xfId="0" applyNumberFormat="1" applyFont="1" applyFill="1" applyBorder="1" applyAlignment="1">
      <alignment horizontal="right" vertical="center" indent="1"/>
    </xf>
    <xf numFmtId="37" fontId="22" fillId="6" borderId="1" xfId="6" applyNumberFormat="1" applyFont="1" applyFill="1" applyBorder="1" applyAlignment="1">
      <alignment vertical="center"/>
    </xf>
    <xf numFmtId="37" fontId="12" fillId="5" borderId="1" xfId="6" applyNumberFormat="1" applyFont="1" applyFill="1" applyBorder="1" applyAlignment="1">
      <alignment vertical="center"/>
    </xf>
    <xf numFmtId="167" fontId="21" fillId="5" borderId="3" xfId="0" applyNumberFormat="1" applyFont="1" applyFill="1" applyBorder="1" applyAlignment="1">
      <alignment horizontal="right" vertical="center" indent="1"/>
    </xf>
    <xf numFmtId="37" fontId="5" fillId="5" borderId="3" xfId="0" applyNumberFormat="1" applyFont="1" applyFill="1" applyBorder="1" applyAlignment="1">
      <alignment vertical="center"/>
    </xf>
    <xf numFmtId="37" fontId="12" fillId="6" borderId="3" xfId="0" applyNumberFormat="1" applyFont="1" applyFill="1" applyBorder="1" applyAlignment="1">
      <alignment vertical="center"/>
    </xf>
    <xf numFmtId="37" fontId="22" fillId="6" borderId="3" xfId="6" applyNumberFormat="1" applyFont="1" applyFill="1" applyBorder="1" applyAlignment="1">
      <alignment vertical="center"/>
    </xf>
    <xf numFmtId="37" fontId="12" fillId="5" borderId="3" xfId="0" applyNumberFormat="1" applyFont="1" applyFill="1" applyBorder="1" applyAlignment="1">
      <alignment vertical="center"/>
    </xf>
    <xf numFmtId="37" fontId="12" fillId="6" borderId="25" xfId="0" applyNumberFormat="1" applyFont="1" applyFill="1" applyBorder="1" applyAlignment="1">
      <alignment vertical="center"/>
    </xf>
    <xf numFmtId="37" fontId="9" fillId="6" borderId="5" xfId="0" applyNumberFormat="1" applyFont="1" applyFill="1" applyBorder="1" applyAlignment="1">
      <alignment horizontal="left" vertical="center" indent="1"/>
    </xf>
    <xf numFmtId="37" fontId="12" fillId="6" borderId="26" xfId="0" applyNumberFormat="1" applyFont="1" applyFill="1" applyBorder="1" applyAlignment="1">
      <alignment vertical="center"/>
    </xf>
    <xf numFmtId="37" fontId="12" fillId="5" borderId="26" xfId="0" applyNumberFormat="1" applyFont="1" applyFill="1" applyBorder="1" applyAlignment="1">
      <alignment vertical="center"/>
    </xf>
    <xf numFmtId="37" fontId="12" fillId="6" borderId="3" xfId="0" applyNumberFormat="1" applyFont="1" applyFill="1" applyBorder="1" applyAlignment="1">
      <alignment horizontal="left" vertical="center" indent="1"/>
    </xf>
    <xf numFmtId="0" fontId="12" fillId="6" borderId="3" xfId="0" applyFont="1" applyFill="1" applyBorder="1" applyAlignment="1">
      <alignment vertical="center"/>
    </xf>
    <xf numFmtId="37" fontId="12" fillId="5" borderId="3" xfId="6" applyNumberFormat="1" applyFont="1" applyFill="1" applyBorder="1" applyAlignment="1">
      <alignment vertical="center"/>
    </xf>
    <xf numFmtId="37" fontId="17" fillId="6" borderId="5" xfId="0" applyNumberFormat="1" applyFont="1" applyFill="1" applyBorder="1" applyAlignment="1">
      <alignment horizontal="left" vertical="center" indent="1"/>
    </xf>
    <xf numFmtId="0" fontId="16" fillId="6" borderId="26" xfId="0" applyFont="1" applyFill="1" applyBorder="1" applyAlignment="1">
      <alignment vertical="center"/>
    </xf>
    <xf numFmtId="37" fontId="16" fillId="5" borderId="26" xfId="0" applyNumberFormat="1" applyFont="1" applyFill="1" applyBorder="1" applyAlignment="1">
      <alignment vertical="center"/>
    </xf>
    <xf numFmtId="37" fontId="16" fillId="5" borderId="3" xfId="0" applyNumberFormat="1" applyFont="1" applyFill="1" applyBorder="1" applyAlignment="1">
      <alignment vertical="center"/>
    </xf>
    <xf numFmtId="37" fontId="12" fillId="5" borderId="19" xfId="0" applyNumberFormat="1" applyFont="1" applyFill="1" applyBorder="1" applyAlignment="1">
      <alignment vertical="center"/>
    </xf>
    <xf numFmtId="37" fontId="12" fillId="5" borderId="19" xfId="6" applyNumberFormat="1" applyFont="1" applyFill="1" applyBorder="1" applyAlignment="1">
      <alignment vertical="center"/>
    </xf>
    <xf numFmtId="37" fontId="16" fillId="5" borderId="19" xfId="0" applyNumberFormat="1" applyFont="1" applyFill="1" applyBorder="1" applyAlignment="1">
      <alignment vertical="center"/>
    </xf>
    <xf numFmtId="37" fontId="5" fillId="3" borderId="19" xfId="0" applyNumberFormat="1" applyFont="1" applyFill="1" applyBorder="1" applyAlignment="1">
      <alignment vertical="center"/>
    </xf>
    <xf numFmtId="168" fontId="5" fillId="3" borderId="18" xfId="2" applyNumberFormat="1" applyFont="1" applyFill="1" applyBorder="1" applyAlignment="1">
      <alignment horizontal="center" vertical="center"/>
    </xf>
    <xf numFmtId="169" fontId="5" fillId="3" borderId="18" xfId="0" applyNumberFormat="1" applyFont="1" applyFill="1" applyBorder="1" applyAlignment="1">
      <alignment horizontal="center" vertical="center"/>
    </xf>
    <xf numFmtId="2" fontId="5" fillId="3" borderId="19" xfId="0" applyNumberFormat="1" applyFont="1" applyFill="1" applyBorder="1" applyAlignment="1">
      <alignment horizontal="center" vertical="center"/>
    </xf>
    <xf numFmtId="2" fontId="5" fillId="3" borderId="0" xfId="0" applyNumberFormat="1" applyFont="1" applyFill="1" applyBorder="1" applyAlignment="1">
      <alignment horizontal="center" vertical="center"/>
    </xf>
    <xf numFmtId="0" fontId="12" fillId="5" borderId="15" xfId="0" applyFont="1" applyFill="1" applyBorder="1" applyAlignment="1">
      <alignment horizontal="left" vertical="center" indent="1"/>
    </xf>
    <xf numFmtId="37" fontId="12" fillId="5" borderId="0" xfId="0" applyNumberFormat="1" applyFont="1" applyFill="1" applyBorder="1" applyAlignment="1">
      <alignment vertical="center"/>
    </xf>
    <xf numFmtId="0" fontId="9" fillId="5" borderId="0" xfId="0" applyFont="1" applyFill="1" applyBorder="1" applyAlignment="1">
      <alignment vertical="center"/>
    </xf>
    <xf numFmtId="37" fontId="12" fillId="5" borderId="22" xfId="0" applyNumberFormat="1" applyFont="1" applyFill="1" applyBorder="1" applyAlignment="1">
      <alignment vertical="center"/>
    </xf>
    <xf numFmtId="0" fontId="17" fillId="5" borderId="16" xfId="0" applyFont="1" applyFill="1" applyBorder="1" applyAlignment="1">
      <alignment horizontal="left" vertical="center" indent="1"/>
    </xf>
    <xf numFmtId="37" fontId="16" fillId="5" borderId="12" xfId="0" applyNumberFormat="1" applyFont="1" applyFill="1" applyBorder="1" applyAlignment="1">
      <alignment vertical="center"/>
    </xf>
    <xf numFmtId="0" fontId="9" fillId="5" borderId="15" xfId="0" applyFont="1" applyFill="1" applyBorder="1" applyAlignment="1">
      <alignment horizontal="left" vertical="center" indent="1"/>
    </xf>
    <xf numFmtId="0" fontId="9" fillId="5" borderId="22" xfId="0" applyFont="1" applyFill="1" applyBorder="1" applyAlignment="1">
      <alignment vertical="center"/>
    </xf>
    <xf numFmtId="0" fontId="17" fillId="5" borderId="15" xfId="0" applyFont="1" applyFill="1" applyBorder="1" applyAlignment="1">
      <alignment horizontal="left" vertical="center" indent="1"/>
    </xf>
    <xf numFmtId="0" fontId="17" fillId="5" borderId="0" xfId="0" applyFont="1" applyFill="1" applyBorder="1" applyAlignment="1">
      <alignment vertical="center"/>
    </xf>
    <xf numFmtId="37" fontId="16" fillId="5" borderId="0" xfId="0" applyNumberFormat="1" applyFont="1" applyFill="1" applyBorder="1" applyAlignment="1">
      <alignment vertical="center"/>
    </xf>
    <xf numFmtId="0" fontId="17" fillId="5" borderId="17" xfId="0" applyFont="1" applyFill="1" applyBorder="1" applyAlignment="1">
      <alignment horizontal="left" vertical="center" indent="1"/>
    </xf>
    <xf numFmtId="3" fontId="17" fillId="5" borderId="11" xfId="0" applyNumberFormat="1" applyFont="1" applyFill="1" applyBorder="1" applyAlignment="1">
      <alignment vertical="center"/>
    </xf>
    <xf numFmtId="37" fontId="16" fillId="5" borderId="11" xfId="2" applyNumberFormat="1" applyFont="1" applyFill="1" applyBorder="1" applyAlignment="1">
      <alignment horizontal="right" vertical="center"/>
    </xf>
    <xf numFmtId="3" fontId="9" fillId="5" borderId="0" xfId="0" applyNumberFormat="1" applyFont="1" applyFill="1" applyBorder="1" applyAlignment="1">
      <alignment vertical="center"/>
    </xf>
    <xf numFmtId="37" fontId="12" fillId="5" borderId="0" xfId="2" applyNumberFormat="1" applyFont="1" applyFill="1" applyBorder="1" applyAlignment="1">
      <alignment horizontal="right" vertical="center"/>
    </xf>
    <xf numFmtId="168" fontId="12" fillId="5" borderId="0" xfId="2" applyNumberFormat="1" applyFont="1" applyFill="1" applyBorder="1" applyAlignment="1">
      <alignment horizontal="right" vertical="center"/>
    </xf>
    <xf numFmtId="0" fontId="9" fillId="5" borderId="9" xfId="0" applyFont="1" applyFill="1" applyBorder="1" applyAlignment="1">
      <alignment horizontal="left" vertical="center" indent="1"/>
    </xf>
    <xf numFmtId="0" fontId="9" fillId="5" borderId="10" xfId="0" applyFont="1" applyFill="1" applyBorder="1" applyAlignment="1">
      <alignment vertical="center"/>
    </xf>
    <xf numFmtId="168" fontId="12" fillId="5" borderId="10" xfId="2" applyNumberFormat="1" applyFont="1" applyFill="1" applyBorder="1" applyAlignment="1">
      <alignment horizontal="right" vertical="center"/>
    </xf>
    <xf numFmtId="0" fontId="9" fillId="5" borderId="28" xfId="0" applyFont="1" applyFill="1" applyBorder="1" applyAlignment="1">
      <alignment vertical="center"/>
    </xf>
    <xf numFmtId="37" fontId="12" fillId="5" borderId="0" xfId="0" applyNumberFormat="1" applyFont="1" applyFill="1" applyBorder="1" applyAlignment="1">
      <alignment horizontal="right" vertical="center" indent="1"/>
    </xf>
    <xf numFmtId="37" fontId="12" fillId="5" borderId="22" xfId="0" applyNumberFormat="1" applyFont="1" applyFill="1" applyBorder="1" applyAlignment="1">
      <alignment horizontal="right" vertical="center" indent="1"/>
    </xf>
    <xf numFmtId="37" fontId="16" fillId="5" borderId="11" xfId="0" applyNumberFormat="1" applyFont="1" applyFill="1" applyBorder="1" applyAlignment="1">
      <alignment horizontal="right" vertical="center" indent="1"/>
    </xf>
    <xf numFmtId="37" fontId="16" fillId="5" borderId="27" xfId="0" applyNumberFormat="1" applyFont="1" applyFill="1" applyBorder="1" applyAlignment="1">
      <alignment horizontal="right" vertical="center" indent="1"/>
    </xf>
    <xf numFmtId="170" fontId="12" fillId="5" borderId="0" xfId="2" applyNumberFormat="1" applyFont="1" applyFill="1" applyBorder="1" applyAlignment="1">
      <alignment horizontal="right" vertical="center" indent="1"/>
    </xf>
    <xf numFmtId="37" fontId="12" fillId="5" borderId="22" xfId="2" applyNumberFormat="1" applyFont="1" applyFill="1" applyBorder="1" applyAlignment="1">
      <alignment horizontal="right" vertical="center" indent="1"/>
    </xf>
    <xf numFmtId="0" fontId="9" fillId="5" borderId="0" xfId="0" applyFont="1" applyFill="1" applyBorder="1" applyAlignment="1">
      <alignment horizontal="right" vertical="center" indent="1"/>
    </xf>
    <xf numFmtId="0" fontId="9" fillId="5" borderId="22" xfId="0" applyFont="1" applyFill="1" applyBorder="1" applyAlignment="1">
      <alignment horizontal="right" vertical="center" indent="1"/>
    </xf>
    <xf numFmtId="2" fontId="9" fillId="5" borderId="0" xfId="0" applyNumberFormat="1" applyFont="1" applyFill="1" applyBorder="1" applyAlignment="1">
      <alignment horizontal="right" vertical="center" indent="1"/>
    </xf>
    <xf numFmtId="2" fontId="9" fillId="5" borderId="22" xfId="0" applyNumberFormat="1" applyFont="1" applyFill="1" applyBorder="1" applyAlignment="1">
      <alignment horizontal="right" vertical="center" indent="1"/>
    </xf>
    <xf numFmtId="166" fontId="14" fillId="0" borderId="0" xfId="0" applyNumberFormat="1" applyFont="1" applyFill="1" applyBorder="1" applyAlignment="1">
      <alignment horizontal="right" vertical="center" indent="1"/>
    </xf>
    <xf numFmtId="167" fontId="14" fillId="0" borderId="0" xfId="0" applyNumberFormat="1" applyFont="1" applyFill="1" applyBorder="1" applyAlignment="1">
      <alignment horizontal="right" vertical="center" indent="1"/>
    </xf>
    <xf numFmtId="0" fontId="9" fillId="0" borderId="0" xfId="0" applyFont="1" applyFill="1" applyBorder="1" applyAlignment="1">
      <alignment horizontal="left" vertical="center" indent="1"/>
    </xf>
    <xf numFmtId="37" fontId="9" fillId="6" borderId="3" xfId="0" applyNumberFormat="1" applyFont="1" applyFill="1" applyBorder="1" applyAlignment="1">
      <alignment horizontal="left" vertical="center" indent="1"/>
    </xf>
    <xf numFmtId="0" fontId="12" fillId="5" borderId="3" xfId="0" applyFont="1" applyFill="1" applyBorder="1" applyAlignment="1">
      <alignment horizontal="right" vertical="center" indent="1"/>
    </xf>
    <xf numFmtId="37" fontId="12" fillId="9" borderId="3" xfId="0" applyNumberFormat="1" applyFont="1" applyFill="1" applyBorder="1" applyAlignment="1">
      <alignment vertical="center"/>
    </xf>
    <xf numFmtId="37" fontId="5" fillId="3" borderId="3" xfId="2" applyNumberFormat="1" applyFont="1" applyFill="1" applyBorder="1" applyAlignment="1">
      <alignment horizontal="right" vertical="center"/>
    </xf>
    <xf numFmtId="37" fontId="21" fillId="5" borderId="3" xfId="0" applyNumberFormat="1" applyFont="1" applyFill="1" applyBorder="1" applyAlignment="1">
      <alignment vertical="center"/>
    </xf>
    <xf numFmtId="37" fontId="12" fillId="7" borderId="3" xfId="0" applyNumberFormat="1" applyFont="1" applyFill="1" applyBorder="1" applyAlignment="1">
      <alignment horizontal="left" vertical="center" indent="1"/>
    </xf>
    <xf numFmtId="37" fontId="5" fillId="3" borderId="3" xfId="6" applyNumberFormat="1" applyFont="1" applyFill="1" applyBorder="1" applyAlignment="1">
      <alignment horizontal="center" vertical="center"/>
    </xf>
    <xf numFmtId="0" fontId="12" fillId="0" borderId="0" xfId="0" applyFont="1" applyBorder="1" applyAlignment="1">
      <alignment horizontal="left" vertical="center" indent="1"/>
    </xf>
    <xf numFmtId="0" fontId="12" fillId="0" borderId="0" xfId="0" applyFont="1" applyBorder="1" applyAlignment="1">
      <alignment horizontal="left" indent="1"/>
    </xf>
    <xf numFmtId="0" fontId="5" fillId="8" borderId="13" xfId="0" applyFont="1" applyFill="1" applyBorder="1" applyAlignment="1">
      <alignment vertical="center"/>
    </xf>
    <xf numFmtId="0" fontId="5" fillId="8" borderId="14" xfId="0" applyFont="1" applyFill="1" applyBorder="1" applyAlignment="1">
      <alignment vertical="center"/>
    </xf>
    <xf numFmtId="167" fontId="5" fillId="8" borderId="14" xfId="0" applyNumberFormat="1" applyFont="1" applyFill="1" applyBorder="1" applyAlignment="1">
      <alignment vertical="center"/>
    </xf>
    <xf numFmtId="0" fontId="5" fillId="8" borderId="15" xfId="0" applyFont="1" applyFill="1" applyBorder="1" applyAlignment="1">
      <alignment horizontal="left" vertical="center" indent="1"/>
    </xf>
    <xf numFmtId="168" fontId="5" fillId="8" borderId="0" xfId="0" applyNumberFormat="1" applyFont="1" applyFill="1" applyBorder="1" applyAlignment="1">
      <alignment horizontal="right" vertical="center" indent="1"/>
    </xf>
    <xf numFmtId="0" fontId="5" fillId="8" borderId="0" xfId="0" applyFont="1" applyFill="1" applyBorder="1" applyAlignment="1">
      <alignment horizontal="right" vertical="center" indent="1"/>
    </xf>
    <xf numFmtId="169" fontId="5" fillId="8" borderId="0" xfId="0" applyNumberFormat="1" applyFont="1" applyFill="1" applyBorder="1" applyAlignment="1">
      <alignment horizontal="right" vertical="center" indent="1"/>
    </xf>
    <xf numFmtId="37" fontId="5" fillId="8" borderId="0" xfId="0" applyNumberFormat="1" applyFont="1" applyFill="1" applyBorder="1" applyAlignment="1">
      <alignment horizontal="right" vertical="center" indent="1"/>
    </xf>
    <xf numFmtId="165" fontId="5" fillId="8" borderId="0" xfId="0" applyNumberFormat="1" applyFont="1" applyFill="1" applyBorder="1" applyAlignment="1">
      <alignment horizontal="right" vertical="center"/>
    </xf>
    <xf numFmtId="0" fontId="16" fillId="5" borderId="15" xfId="0" applyFont="1" applyFill="1" applyBorder="1" applyAlignment="1">
      <alignment horizontal="left" vertical="center" indent="1"/>
    </xf>
    <xf numFmtId="37" fontId="16" fillId="5" borderId="0" xfId="0" applyNumberFormat="1" applyFont="1" applyFill="1" applyBorder="1" applyAlignment="1">
      <alignment horizontal="right" vertical="center" indent="1"/>
    </xf>
    <xf numFmtId="37" fontId="16" fillId="5" borderId="22" xfId="0" applyNumberFormat="1" applyFont="1" applyFill="1" applyBorder="1" applyAlignment="1">
      <alignment horizontal="right" vertical="center" indent="1"/>
    </xf>
    <xf numFmtId="0" fontId="9" fillId="5" borderId="29" xfId="0" applyFont="1" applyFill="1" applyBorder="1" applyAlignment="1">
      <alignment horizontal="left" vertical="center" indent="1"/>
    </xf>
    <xf numFmtId="0" fontId="9" fillId="5" borderId="30" xfId="0" applyFont="1" applyFill="1" applyBorder="1" applyAlignment="1">
      <alignment vertical="center"/>
    </xf>
    <xf numFmtId="37" fontId="12" fillId="5" borderId="30" xfId="0" applyNumberFormat="1" applyFont="1" applyFill="1" applyBorder="1" applyAlignment="1">
      <alignment vertical="center"/>
    </xf>
    <xf numFmtId="0" fontId="9" fillId="5" borderId="31" xfId="0" applyFont="1" applyFill="1" applyBorder="1" applyAlignment="1">
      <alignment vertical="center"/>
    </xf>
    <xf numFmtId="0" fontId="9" fillId="5" borderId="32" xfId="0" applyFont="1" applyFill="1" applyBorder="1" applyAlignment="1">
      <alignment horizontal="left" vertical="center" indent="1"/>
    </xf>
    <xf numFmtId="0" fontId="9" fillId="5" borderId="33" xfId="0" applyFont="1" applyFill="1" applyBorder="1" applyAlignment="1">
      <alignment vertical="center"/>
    </xf>
    <xf numFmtId="168" fontId="12" fillId="5" borderId="33" xfId="2" applyNumberFormat="1" applyFont="1" applyFill="1" applyBorder="1" applyAlignment="1">
      <alignment horizontal="right" vertical="center"/>
    </xf>
    <xf numFmtId="0" fontId="9" fillId="5" borderId="34" xfId="0" applyFont="1" applyFill="1" applyBorder="1" applyAlignment="1">
      <alignment vertical="center"/>
    </xf>
    <xf numFmtId="0" fontId="20" fillId="0" borderId="0" xfId="0" applyFont="1" applyBorder="1" applyAlignment="1">
      <alignment horizontal="left" vertical="center" indent="1"/>
    </xf>
    <xf numFmtId="0" fontId="16" fillId="6" borderId="3" xfId="0" applyFont="1" applyFill="1" applyBorder="1" applyAlignment="1">
      <alignment horizontal="left" vertical="center" indent="1"/>
    </xf>
    <xf numFmtId="0" fontId="18" fillId="6" borderId="7" xfId="0" applyFont="1" applyFill="1" applyBorder="1" applyAlignment="1">
      <alignment horizontal="left" vertical="center" indent="1"/>
    </xf>
    <xf numFmtId="37" fontId="19" fillId="6" borderId="1" xfId="0" applyNumberFormat="1" applyFont="1" applyFill="1" applyBorder="1" applyAlignment="1">
      <alignment vertical="center"/>
    </xf>
    <xf numFmtId="37" fontId="12" fillId="5" borderId="18" xfId="6" applyNumberFormat="1" applyFont="1" applyFill="1" applyBorder="1" applyAlignment="1">
      <alignment vertical="center"/>
    </xf>
    <xf numFmtId="169" fontId="18" fillId="5" borderId="7" xfId="7" applyNumberFormat="1" applyFont="1" applyFill="1" applyBorder="1" applyAlignment="1">
      <alignment vertical="center"/>
    </xf>
    <xf numFmtId="169" fontId="18" fillId="5" borderId="35" xfId="7" applyNumberFormat="1" applyFont="1" applyFill="1" applyBorder="1" applyAlignment="1">
      <alignment vertical="center"/>
    </xf>
    <xf numFmtId="9" fontId="12" fillId="5" borderId="1" xfId="0" applyNumberFormat="1" applyFont="1" applyFill="1" applyBorder="1" applyAlignment="1">
      <alignment vertical="center"/>
    </xf>
    <xf numFmtId="9" fontId="12" fillId="5" borderId="18" xfId="0" applyNumberFormat="1" applyFont="1" applyFill="1" applyBorder="1" applyAlignment="1">
      <alignment vertical="center"/>
    </xf>
    <xf numFmtId="9" fontId="18" fillId="9" borderId="7" xfId="7" applyFont="1" applyFill="1" applyBorder="1" applyAlignment="1">
      <alignment vertical="center"/>
    </xf>
    <xf numFmtId="37" fontId="19" fillId="6" borderId="7" xfId="0" applyNumberFormat="1" applyFont="1" applyFill="1" applyBorder="1" applyAlignment="1">
      <alignment vertical="center"/>
    </xf>
    <xf numFmtId="37" fontId="10" fillId="0" borderId="3" xfId="0" applyNumberFormat="1" applyFont="1" applyFill="1" applyBorder="1" applyAlignment="1">
      <alignment vertical="center"/>
    </xf>
    <xf numFmtId="9" fontId="11" fillId="0" borderId="7" xfId="0" applyNumberFormat="1" applyFont="1" applyFill="1" applyBorder="1" applyAlignment="1">
      <alignment vertical="center"/>
    </xf>
    <xf numFmtId="9" fontId="11" fillId="0" borderId="35" xfId="0" applyNumberFormat="1" applyFont="1" applyFill="1" applyBorder="1" applyAlignment="1">
      <alignment vertical="center"/>
    </xf>
    <xf numFmtId="37" fontId="5" fillId="0" borderId="3" xfId="0" applyNumberFormat="1" applyFont="1" applyFill="1" applyBorder="1" applyAlignment="1">
      <alignment vertical="center"/>
    </xf>
    <xf numFmtId="37" fontId="5" fillId="0" borderId="1" xfId="0" applyNumberFormat="1" applyFont="1" applyFill="1" applyBorder="1" applyAlignment="1">
      <alignment vertical="center"/>
    </xf>
    <xf numFmtId="37" fontId="5" fillId="0" borderId="18" xfId="0" applyNumberFormat="1" applyFont="1" applyFill="1" applyBorder="1" applyAlignment="1">
      <alignment vertical="center"/>
    </xf>
    <xf numFmtId="169" fontId="5" fillId="0" borderId="1" xfId="7" applyNumberFormat="1" applyFont="1" applyFill="1" applyBorder="1" applyAlignment="1">
      <alignment horizontal="right" vertical="center"/>
    </xf>
    <xf numFmtId="169" fontId="31" fillId="3" borderId="7" xfId="7" applyNumberFormat="1" applyFont="1" applyFill="1" applyBorder="1" applyAlignment="1">
      <alignment vertical="center"/>
    </xf>
    <xf numFmtId="37" fontId="5" fillId="8" borderId="1" xfId="0" applyNumberFormat="1" applyFont="1" applyFill="1" applyBorder="1" applyAlignment="1">
      <alignment vertical="center"/>
    </xf>
    <xf numFmtId="37" fontId="12" fillId="10" borderId="1" xfId="0" applyNumberFormat="1" applyFont="1" applyFill="1" applyBorder="1" applyAlignment="1">
      <alignment vertical="center"/>
    </xf>
    <xf numFmtId="37" fontId="5" fillId="10" borderId="1" xfId="0" applyNumberFormat="1" applyFont="1" applyFill="1" applyBorder="1" applyAlignment="1">
      <alignment vertical="center"/>
    </xf>
    <xf numFmtId="37" fontId="12" fillId="10" borderId="18" xfId="0" applyNumberFormat="1" applyFont="1" applyFill="1" applyBorder="1" applyAlignment="1">
      <alignment vertical="center"/>
    </xf>
    <xf numFmtId="37" fontId="5" fillId="10" borderId="18" xfId="0" applyNumberFormat="1" applyFont="1" applyFill="1" applyBorder="1" applyAlignment="1">
      <alignment vertical="center"/>
    </xf>
    <xf numFmtId="37" fontId="5" fillId="8" borderId="18" xfId="0" applyNumberFormat="1" applyFont="1" applyFill="1" applyBorder="1" applyAlignment="1">
      <alignment vertical="center"/>
    </xf>
    <xf numFmtId="37" fontId="16" fillId="8" borderId="3" xfId="0" applyNumberFormat="1" applyFont="1" applyFill="1" applyBorder="1" applyAlignment="1">
      <alignment vertical="center"/>
    </xf>
    <xf numFmtId="37" fontId="16" fillId="8" borderId="19" xfId="0" applyNumberFormat="1" applyFont="1" applyFill="1" applyBorder="1" applyAlignment="1">
      <alignment vertical="center"/>
    </xf>
    <xf numFmtId="0" fontId="16" fillId="7" borderId="3" xfId="0" applyFont="1" applyFill="1" applyBorder="1" applyAlignment="1">
      <alignment horizontal="left" vertical="center" indent="1"/>
    </xf>
    <xf numFmtId="37" fontId="16" fillId="10" borderId="3" xfId="0" applyNumberFormat="1" applyFont="1" applyFill="1" applyBorder="1" applyAlignment="1">
      <alignment vertical="center"/>
    </xf>
    <xf numFmtId="37" fontId="16" fillId="10" borderId="19" xfId="0" applyNumberFormat="1" applyFont="1" applyFill="1" applyBorder="1" applyAlignment="1">
      <alignment vertical="center"/>
    </xf>
    <xf numFmtId="0" fontId="9" fillId="0" borderId="0" xfId="0" applyFont="1" applyBorder="1" applyAlignment="1">
      <alignment horizontal="left" vertical="center" indent="1"/>
    </xf>
    <xf numFmtId="0" fontId="29" fillId="0" borderId="0" xfId="0" applyFont="1" applyBorder="1" applyAlignment="1">
      <alignment vertical="center"/>
    </xf>
    <xf numFmtId="0" fontId="17" fillId="6" borderId="3" xfId="0" applyFont="1" applyFill="1" applyBorder="1" applyAlignment="1">
      <alignment horizontal="left" vertical="center" indent="1"/>
    </xf>
    <xf numFmtId="37" fontId="16" fillId="6" borderId="3" xfId="0" applyNumberFormat="1" applyFont="1" applyFill="1" applyBorder="1" applyAlignment="1">
      <alignment vertical="center"/>
    </xf>
    <xf numFmtId="37" fontId="12" fillId="6" borderId="1" xfId="6" applyNumberFormat="1" applyFont="1" applyFill="1" applyBorder="1" applyAlignment="1">
      <alignment vertical="center"/>
    </xf>
    <xf numFmtId="37" fontId="12" fillId="9" borderId="1" xfId="6" applyNumberFormat="1" applyFont="1" applyFill="1" applyBorder="1" applyAlignment="1">
      <alignment vertical="center"/>
    </xf>
    <xf numFmtId="37" fontId="12" fillId="9" borderId="18" xfId="6" applyNumberFormat="1" applyFont="1" applyFill="1" applyBorder="1" applyAlignment="1">
      <alignment vertical="center"/>
    </xf>
    <xf numFmtId="37" fontId="16" fillId="9" borderId="3" xfId="0" applyNumberFormat="1" applyFont="1" applyFill="1" applyBorder="1" applyAlignment="1">
      <alignment vertical="center"/>
    </xf>
    <xf numFmtId="37" fontId="16" fillId="9" borderId="19" xfId="0" applyNumberFormat="1" applyFont="1" applyFill="1" applyBorder="1" applyAlignment="1">
      <alignment vertical="center"/>
    </xf>
    <xf numFmtId="37" fontId="12" fillId="5" borderId="1" xfId="0" applyNumberFormat="1" applyFont="1" applyFill="1" applyBorder="1" applyAlignment="1">
      <alignment horizontal="right" vertical="center" indent="1"/>
    </xf>
    <xf numFmtId="37" fontId="12" fillId="9" borderId="18" xfId="0" applyNumberFormat="1" applyFont="1" applyFill="1" applyBorder="1" applyAlignment="1">
      <alignment vertical="center"/>
    </xf>
    <xf numFmtId="37" fontId="16" fillId="5" borderId="3" xfId="0" applyNumberFormat="1" applyFont="1" applyFill="1" applyBorder="1" applyAlignment="1">
      <alignment horizontal="right" vertical="center" indent="1"/>
    </xf>
    <xf numFmtId="0" fontId="32" fillId="0" borderId="0" xfId="0" applyFont="1" applyFill="1" applyBorder="1" applyAlignment="1" applyProtection="1">
      <alignment vertical="top"/>
      <protection locked="0"/>
    </xf>
    <xf numFmtId="167" fontId="5" fillId="8" borderId="23" xfId="0" applyNumberFormat="1" applyFont="1" applyFill="1" applyBorder="1" applyAlignment="1">
      <alignment vertical="center"/>
    </xf>
    <xf numFmtId="168" fontId="5" fillId="8" borderId="22" xfId="0" applyNumberFormat="1" applyFont="1" applyFill="1" applyBorder="1" applyAlignment="1">
      <alignment horizontal="right" vertical="center" indent="1"/>
    </xf>
    <xf numFmtId="169" fontId="5" fillId="8" borderId="22" xfId="0" applyNumberFormat="1" applyFont="1" applyFill="1" applyBorder="1" applyAlignment="1">
      <alignment horizontal="right" vertical="center" indent="1"/>
    </xf>
    <xf numFmtId="37" fontId="5" fillId="8" borderId="22" xfId="0" applyNumberFormat="1" applyFont="1" applyFill="1" applyBorder="1" applyAlignment="1">
      <alignment horizontal="right" vertical="center" indent="1"/>
    </xf>
    <xf numFmtId="165" fontId="5" fillId="8" borderId="22" xfId="0" applyNumberFormat="1" applyFont="1" applyFill="1" applyBorder="1" applyAlignment="1">
      <alignment horizontal="right" vertical="center"/>
    </xf>
    <xf numFmtId="0" fontId="5" fillId="8" borderId="9" xfId="0" applyFont="1" applyFill="1" applyBorder="1" applyAlignment="1">
      <alignment horizontal="left" vertical="center" indent="1"/>
    </xf>
    <xf numFmtId="0" fontId="5" fillId="8" borderId="10" xfId="0" applyFont="1" applyFill="1" applyBorder="1" applyAlignment="1">
      <alignment vertical="center"/>
    </xf>
    <xf numFmtId="0" fontId="5" fillId="8" borderId="28" xfId="0" applyFont="1" applyFill="1" applyBorder="1" applyAlignment="1">
      <alignment vertical="center"/>
    </xf>
    <xf numFmtId="169" fontId="11" fillId="5" borderId="7" xfId="7" applyNumberFormat="1" applyFont="1" applyFill="1" applyBorder="1" applyAlignment="1">
      <alignment vertical="center"/>
    </xf>
    <xf numFmtId="169" fontId="11" fillId="5" borderId="35" xfId="7" applyNumberFormat="1" applyFont="1" applyFill="1" applyBorder="1" applyAlignment="1">
      <alignment vertical="center"/>
    </xf>
    <xf numFmtId="37" fontId="5" fillId="3" borderId="1" xfId="0" applyNumberFormat="1" applyFont="1" applyFill="1" applyBorder="1" applyAlignment="1">
      <alignment vertical="center"/>
    </xf>
    <xf numFmtId="169" fontId="5" fillId="5" borderId="1" xfId="7" applyNumberFormat="1" applyFont="1" applyFill="1" applyBorder="1" applyAlignment="1">
      <alignment vertical="center"/>
    </xf>
    <xf numFmtId="169" fontId="5" fillId="5" borderId="18" xfId="7" applyNumberFormat="1" applyFont="1" applyFill="1" applyBorder="1" applyAlignment="1">
      <alignment vertical="center"/>
    </xf>
    <xf numFmtId="37" fontId="5" fillId="5" borderId="19" xfId="2" applyNumberFormat="1" applyFont="1" applyFill="1" applyBorder="1" applyAlignment="1">
      <alignment horizontal="right" vertical="center"/>
    </xf>
    <xf numFmtId="0" fontId="34" fillId="4" borderId="0" xfId="1" applyFont="1" applyFill="1" applyAlignment="1" applyProtection="1">
      <alignment horizontal="center" vertical="center"/>
      <protection locked="0"/>
    </xf>
  </cellXfs>
  <cellStyles count="8">
    <cellStyle name="Comma 2" xfId="3" xr:uid="{7647EC55-54E6-7748-8066-9AD8F5A2C972}"/>
    <cellStyle name="Hyperlink 2" xfId="4" xr:uid="{DEE1E26C-06B2-0A4D-A272-258A718AD1BE}"/>
    <cellStyle name="Normal 2" xfId="2" xr:uid="{3F51050F-2C9F-6F43-AF22-C0D795454C90}"/>
    <cellStyle name="Percent 2" xfId="5" xr:uid="{9BD08DE8-2F5E-5E4B-A1F1-CC660E4AD1B3}"/>
    <cellStyle name="Гиперссылка" xfId="1" builtinId="8"/>
    <cellStyle name="Обычный" xfId="0" builtinId="0"/>
    <cellStyle name="Процентный" xfId="7" builtinId="5"/>
    <cellStyle name="Финансовый" xfId="6" builtinId="3"/>
  </cellStyles>
  <dxfs count="0"/>
  <tableStyles count="0" defaultTableStyle="TableStyleMedium9" defaultPivotStyle="PivotStyleMedium7"/>
  <colors>
    <mruColors>
      <color rgb="FFEAEEF3"/>
      <color rgb="FF00EAF0"/>
      <color rgb="FFD5EDBC"/>
      <color rgb="FF44C5D8"/>
      <color rgb="FFE7EFDA"/>
      <color rgb="FFF7F9FB"/>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0126071097730401"/>
          <c:y val="0.13131710808876201"/>
          <c:w val="0.92837341191246803"/>
          <c:h val="0.75942356888933205"/>
        </c:manualLayout>
      </c:layout>
      <c:barChart>
        <c:barDir val="col"/>
        <c:grouping val="clustered"/>
        <c:varyColors val="0"/>
        <c:ser>
          <c:idx val="0"/>
          <c:order val="0"/>
          <c:tx>
            <c:strRef>
              <c:f>'DCF Valuation Model - EXAMPLE'!$B$22</c:f>
              <c:strCache>
                <c:ptCount val="1"/>
                <c:pt idx="0">
                  <c:v>REVENUES</c:v>
                </c:pt>
              </c:strCache>
            </c:strRef>
          </c:tx>
          <c:spPr>
            <a:gradFill>
              <a:gsLst>
                <a:gs pos="0">
                  <a:srgbClr val="92D050"/>
                </a:gs>
                <a:gs pos="100000">
                  <a:srgbClr val="00B050"/>
                </a:gs>
              </a:gsLst>
              <a:lin ang="2700000" scaled="0"/>
            </a:gradFill>
            <a:ln>
              <a:noFill/>
            </a:ln>
          </c:spPr>
          <c:invertIfNegative val="0"/>
          <c:cat>
            <c:numRef>
              <c:f>'DCF Valuation Model - EXAMPLE'!$C$21:$J$21</c:f>
              <c:numCache>
                <c:formatCode>0000\ \A</c:formatCode>
                <c:ptCount val="8"/>
                <c:pt idx="0">
                  <c:v>2022</c:v>
                </c:pt>
                <c:pt idx="1">
                  <c:v>2023</c:v>
                </c:pt>
                <c:pt idx="2">
                  <c:v>2024</c:v>
                </c:pt>
                <c:pt idx="3" formatCode="0000\ \F">
                  <c:v>2025</c:v>
                </c:pt>
                <c:pt idx="4" formatCode="0000\ \F">
                  <c:v>2026</c:v>
                </c:pt>
                <c:pt idx="5" formatCode="0000\ \F">
                  <c:v>2027</c:v>
                </c:pt>
                <c:pt idx="6" formatCode="0000\ \F">
                  <c:v>2028</c:v>
                </c:pt>
                <c:pt idx="7" formatCode="0000\ \F">
                  <c:v>2029</c:v>
                </c:pt>
              </c:numCache>
            </c:numRef>
          </c:cat>
          <c:val>
            <c:numRef>
              <c:f>'DCF Valuation Model - EXAMPLE'!$C$22:$J$22</c:f>
              <c:numCache>
                <c:formatCode>#,##0_);\(#,##0\)</c:formatCode>
                <c:ptCount val="8"/>
                <c:pt idx="0">
                  <c:v>2750000</c:v>
                </c:pt>
                <c:pt idx="1">
                  <c:v>3250000</c:v>
                </c:pt>
                <c:pt idx="2">
                  <c:v>4500000</c:v>
                </c:pt>
                <c:pt idx="3">
                  <c:v>5175000</c:v>
                </c:pt>
                <c:pt idx="4">
                  <c:v>5692500</c:v>
                </c:pt>
                <c:pt idx="5">
                  <c:v>6261750.0000000009</c:v>
                </c:pt>
                <c:pt idx="6">
                  <c:v>6887925.0000000019</c:v>
                </c:pt>
                <c:pt idx="7">
                  <c:v>7404519.3750000019</c:v>
                </c:pt>
              </c:numCache>
            </c:numRef>
          </c:val>
          <c:extLst>
            <c:ext xmlns:c16="http://schemas.microsoft.com/office/drawing/2014/chart" uri="{C3380CC4-5D6E-409C-BE32-E72D297353CC}">
              <c16:uniqueId val="{00000000-A43B-6D4F-AD40-D40BDC8FB38A}"/>
            </c:ext>
          </c:extLst>
        </c:ser>
        <c:ser>
          <c:idx val="1"/>
          <c:order val="1"/>
          <c:tx>
            <c:strRef>
              <c:f>'DCF Valuation Model - EXAMPLE'!$B$33</c:f>
              <c:strCache>
                <c:ptCount val="1"/>
                <c:pt idx="0">
                  <c:v>EBITDA</c:v>
                </c:pt>
              </c:strCache>
            </c:strRef>
          </c:tx>
          <c:spPr>
            <a:gradFill>
              <a:gsLst>
                <a:gs pos="0">
                  <a:srgbClr val="00EAF0"/>
                </a:gs>
                <a:gs pos="100000">
                  <a:srgbClr val="0070C0"/>
                </a:gs>
              </a:gsLst>
              <a:lin ang="2700000" scaled="0"/>
            </a:gradFill>
            <a:ln>
              <a:noFill/>
            </a:ln>
          </c:spPr>
          <c:invertIfNegative val="0"/>
          <c:cat>
            <c:numRef>
              <c:f>'DCF Valuation Model - EXAMPLE'!$C$21:$J$21</c:f>
              <c:numCache>
                <c:formatCode>0000\ \A</c:formatCode>
                <c:ptCount val="8"/>
                <c:pt idx="0">
                  <c:v>2022</c:v>
                </c:pt>
                <c:pt idx="1">
                  <c:v>2023</c:v>
                </c:pt>
                <c:pt idx="2">
                  <c:v>2024</c:v>
                </c:pt>
                <c:pt idx="3" formatCode="0000\ \F">
                  <c:v>2025</c:v>
                </c:pt>
                <c:pt idx="4" formatCode="0000\ \F">
                  <c:v>2026</c:v>
                </c:pt>
                <c:pt idx="5" formatCode="0000\ \F">
                  <c:v>2027</c:v>
                </c:pt>
                <c:pt idx="6" formatCode="0000\ \F">
                  <c:v>2028</c:v>
                </c:pt>
                <c:pt idx="7" formatCode="0000\ \F">
                  <c:v>2029</c:v>
                </c:pt>
              </c:numCache>
            </c:numRef>
          </c:cat>
          <c:val>
            <c:numRef>
              <c:f>'DCF Valuation Model - EXAMPLE'!$C$33:$J$33</c:f>
              <c:numCache>
                <c:formatCode>#,##0_);\(#,##0\)</c:formatCode>
                <c:ptCount val="8"/>
                <c:pt idx="0">
                  <c:v>-15000</c:v>
                </c:pt>
                <c:pt idx="1">
                  <c:v>-450000</c:v>
                </c:pt>
                <c:pt idx="2">
                  <c:v>575000</c:v>
                </c:pt>
                <c:pt idx="3">
                  <c:v>468250</c:v>
                </c:pt>
                <c:pt idx="4">
                  <c:v>595075</c:v>
                </c:pt>
                <c:pt idx="5">
                  <c:v>692082.50000000047</c:v>
                </c:pt>
                <c:pt idx="6">
                  <c:v>886290.75000000093</c:v>
                </c:pt>
                <c:pt idx="7">
                  <c:v>1037762.5562500008</c:v>
                </c:pt>
              </c:numCache>
            </c:numRef>
          </c:val>
          <c:extLst>
            <c:ext xmlns:c16="http://schemas.microsoft.com/office/drawing/2014/chart" uri="{C3380CC4-5D6E-409C-BE32-E72D297353CC}">
              <c16:uniqueId val="{00000001-A43B-6D4F-AD40-D40BDC8FB38A}"/>
            </c:ext>
          </c:extLst>
        </c:ser>
        <c:dLbls>
          <c:showLegendKey val="0"/>
          <c:showVal val="0"/>
          <c:showCatName val="0"/>
          <c:showSerName val="0"/>
          <c:showPercent val="0"/>
          <c:showBubbleSize val="0"/>
        </c:dLbls>
        <c:gapWidth val="150"/>
        <c:axId val="-554002880"/>
        <c:axId val="-513426288"/>
      </c:barChart>
      <c:lineChart>
        <c:grouping val="standard"/>
        <c:varyColors val="0"/>
        <c:ser>
          <c:idx val="2"/>
          <c:order val="2"/>
          <c:tx>
            <c:strRef>
              <c:f>'DCF Valuation Model - EXAMPLE'!$B$34</c:f>
              <c:strCache>
                <c:ptCount val="1"/>
                <c:pt idx="0">
                  <c:v>%</c:v>
                </c:pt>
              </c:strCache>
            </c:strRef>
          </c:tx>
          <c:spPr>
            <a:ln>
              <a:solidFill>
                <a:schemeClr val="accent4">
                  <a:lumMod val="75000"/>
                </a:schemeClr>
              </a:solidFill>
              <a:prstDash val="sysDot"/>
            </a:ln>
          </c:spPr>
          <c:marker>
            <c:symbol val="none"/>
          </c:marker>
          <c:val>
            <c:numRef>
              <c:f>'DCF Valuation Model - EXAMPLE'!$C$34:$J$34</c:f>
              <c:numCache>
                <c:formatCode>0.0%</c:formatCode>
                <c:ptCount val="8"/>
                <c:pt idx="0">
                  <c:v>-5.454545454545455E-3</c:v>
                </c:pt>
                <c:pt idx="1">
                  <c:v>-0.13846153846153847</c:v>
                </c:pt>
                <c:pt idx="2">
                  <c:v>0.12777777777777777</c:v>
                </c:pt>
                <c:pt idx="3">
                  <c:v>9.0483091787439615E-2</c:v>
                </c:pt>
                <c:pt idx="4">
                  <c:v>0.10453667105841019</c:v>
                </c:pt>
                <c:pt idx="5">
                  <c:v>0.11052541222501702</c:v>
                </c:pt>
                <c:pt idx="6">
                  <c:v>0.1286731127298861</c:v>
                </c:pt>
                <c:pt idx="7">
                  <c:v>0.14015258839808228</c:v>
                </c:pt>
              </c:numCache>
            </c:numRef>
          </c:val>
          <c:smooth val="0"/>
          <c:extLst>
            <c:ext xmlns:c16="http://schemas.microsoft.com/office/drawing/2014/chart" uri="{C3380CC4-5D6E-409C-BE32-E72D297353CC}">
              <c16:uniqueId val="{00000002-A43B-6D4F-AD40-D40BDC8FB38A}"/>
            </c:ext>
          </c:extLst>
        </c:ser>
        <c:dLbls>
          <c:showLegendKey val="0"/>
          <c:showVal val="0"/>
          <c:showCatName val="0"/>
          <c:showSerName val="0"/>
          <c:showPercent val="0"/>
          <c:showBubbleSize val="0"/>
        </c:dLbls>
        <c:marker val="1"/>
        <c:smooth val="0"/>
        <c:axId val="-554429584"/>
        <c:axId val="-561866112"/>
      </c:lineChart>
      <c:catAx>
        <c:axId val="-554002880"/>
        <c:scaling>
          <c:orientation val="minMax"/>
        </c:scaling>
        <c:delete val="0"/>
        <c:axPos val="b"/>
        <c:numFmt formatCode="0000\ \A" sourceLinked="1"/>
        <c:majorTickMark val="none"/>
        <c:minorTickMark val="none"/>
        <c:tickLblPos val="nextTo"/>
        <c:crossAx val="-513426288"/>
        <c:crosses val="autoZero"/>
        <c:auto val="1"/>
        <c:lblAlgn val="ctr"/>
        <c:lblOffset val="100"/>
        <c:noMultiLvlLbl val="0"/>
      </c:catAx>
      <c:valAx>
        <c:axId val="-513426288"/>
        <c:scaling>
          <c:orientation val="minMax"/>
        </c:scaling>
        <c:delete val="0"/>
        <c:axPos val="l"/>
        <c:majorGridlines>
          <c:spPr>
            <a:ln>
              <a:noFill/>
            </a:ln>
          </c:spPr>
        </c:majorGridlines>
        <c:numFmt formatCode="#,##0" sourceLinked="0"/>
        <c:majorTickMark val="out"/>
        <c:minorTickMark val="none"/>
        <c:tickLblPos val="nextTo"/>
        <c:spPr>
          <a:noFill/>
          <a:ln>
            <a:noFill/>
          </a:ln>
        </c:spPr>
        <c:crossAx val="-554002880"/>
        <c:crosses val="autoZero"/>
        <c:crossBetween val="between"/>
      </c:valAx>
      <c:valAx>
        <c:axId val="-561866112"/>
        <c:scaling>
          <c:orientation val="minMax"/>
        </c:scaling>
        <c:delete val="0"/>
        <c:axPos val="r"/>
        <c:numFmt formatCode="0.0%" sourceLinked="0"/>
        <c:majorTickMark val="out"/>
        <c:minorTickMark val="none"/>
        <c:tickLblPos val="nextTo"/>
        <c:crossAx val="-554429584"/>
        <c:crosses val="max"/>
        <c:crossBetween val="between"/>
      </c:valAx>
      <c:catAx>
        <c:axId val="-554429584"/>
        <c:scaling>
          <c:orientation val="minMax"/>
        </c:scaling>
        <c:delete val="1"/>
        <c:axPos val="b"/>
        <c:numFmt formatCode="0000\ \A" sourceLinked="1"/>
        <c:majorTickMark val="out"/>
        <c:minorTickMark val="none"/>
        <c:tickLblPos val="nextTo"/>
        <c:crossAx val="-561866112"/>
        <c:crosses val="autoZero"/>
        <c:auto val="1"/>
        <c:lblAlgn val="ctr"/>
        <c:lblOffset val="100"/>
        <c:noMultiLvlLbl val="0"/>
      </c:catAx>
      <c:spPr>
        <a:noFill/>
      </c:spPr>
    </c:plotArea>
    <c:legend>
      <c:legendPos val="r"/>
      <c:layout>
        <c:manualLayout>
          <c:xMode val="edge"/>
          <c:yMode val="edge"/>
          <c:x val="9.8033411364119999E-2"/>
          <c:y val="1.77369680055816E-2"/>
          <c:w val="0.83717088827751895"/>
          <c:h val="7.6624140336888302E-2"/>
        </c:manualLayout>
      </c:layout>
      <c:overlay val="0"/>
    </c:legend>
    <c:plotVisOnly val="1"/>
    <c:dispBlanksAs val="gap"/>
    <c:showDLblsOverMax val="0"/>
  </c:chart>
  <c:spPr>
    <a:noFill/>
    <a:ln>
      <a:noFill/>
    </a:ln>
  </c:spPr>
  <c:txPr>
    <a:bodyPr/>
    <a:lstStyle/>
    <a:p>
      <a:pPr>
        <a:defRPr sz="1050">
          <a:latin typeface="Century Gothic" panose="020B0502020202020204" pitchFamily="34" charset="0"/>
        </a:defRPr>
      </a:pPr>
      <a:endParaRPr lang="ru-RU"/>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0126071097730401"/>
          <c:y val="0.13131710808876201"/>
          <c:w val="0.92837341191246803"/>
          <c:h val="0.75942356888933205"/>
        </c:manualLayout>
      </c:layout>
      <c:barChart>
        <c:barDir val="col"/>
        <c:grouping val="clustered"/>
        <c:varyColors val="0"/>
        <c:ser>
          <c:idx val="0"/>
          <c:order val="0"/>
          <c:tx>
            <c:strRef>
              <c:f>'DCF Valuation Model - BLANK'!$B$21</c:f>
              <c:strCache>
                <c:ptCount val="1"/>
                <c:pt idx="0">
                  <c:v>REVENUES</c:v>
                </c:pt>
              </c:strCache>
            </c:strRef>
          </c:tx>
          <c:spPr>
            <a:gradFill>
              <a:gsLst>
                <a:gs pos="0">
                  <a:srgbClr val="92D050"/>
                </a:gs>
                <a:gs pos="100000">
                  <a:srgbClr val="00B050"/>
                </a:gs>
              </a:gsLst>
              <a:lin ang="2700000" scaled="0"/>
            </a:gradFill>
            <a:ln>
              <a:noFill/>
            </a:ln>
          </c:spPr>
          <c:invertIfNegative val="0"/>
          <c:cat>
            <c:numRef>
              <c:f>'DCF Valuation Model - BLANK'!$C$20:$J$20</c:f>
              <c:numCache>
                <c:formatCode>0000\ \A</c:formatCode>
                <c:ptCount val="8"/>
                <c:pt idx="0">
                  <c:v>2022</c:v>
                </c:pt>
                <c:pt idx="1">
                  <c:v>2023</c:v>
                </c:pt>
                <c:pt idx="2">
                  <c:v>2024</c:v>
                </c:pt>
                <c:pt idx="3" formatCode="0000\ \F">
                  <c:v>2025</c:v>
                </c:pt>
                <c:pt idx="4" formatCode="0000\ \F">
                  <c:v>2026</c:v>
                </c:pt>
                <c:pt idx="5" formatCode="0000\ \F">
                  <c:v>2027</c:v>
                </c:pt>
                <c:pt idx="6" formatCode="0000\ \F">
                  <c:v>2028</c:v>
                </c:pt>
                <c:pt idx="7" formatCode="0000\ \F">
                  <c:v>2029</c:v>
                </c:pt>
              </c:numCache>
            </c:numRef>
          </c:cat>
          <c:val>
            <c:numRef>
              <c:f>'DCF Valuation Model - BLANK'!$C$21:$J$21</c:f>
              <c:numCache>
                <c:formatCode>#,##0_);\(#,##0\)</c:formatCode>
                <c:ptCount val="8"/>
                <c:pt idx="0">
                  <c:v>1</c:v>
                </c:pt>
                <c:pt idx="1">
                  <c:v>1</c:v>
                </c:pt>
                <c:pt idx="2">
                  <c:v>1</c:v>
                </c:pt>
                <c:pt idx="3">
                  <c:v>1.01</c:v>
                </c:pt>
                <c:pt idx="4">
                  <c:v>1.0201</c:v>
                </c:pt>
                <c:pt idx="5">
                  <c:v>1.0303009999999999</c:v>
                </c:pt>
                <c:pt idx="6">
                  <c:v>1.04060401</c:v>
                </c:pt>
                <c:pt idx="7">
                  <c:v>1.0510100500999999</c:v>
                </c:pt>
              </c:numCache>
            </c:numRef>
          </c:val>
          <c:extLst>
            <c:ext xmlns:c16="http://schemas.microsoft.com/office/drawing/2014/chart" uri="{C3380CC4-5D6E-409C-BE32-E72D297353CC}">
              <c16:uniqueId val="{00000000-CCD3-3644-8C80-1CB23DF77B56}"/>
            </c:ext>
          </c:extLst>
        </c:ser>
        <c:ser>
          <c:idx val="1"/>
          <c:order val="1"/>
          <c:tx>
            <c:strRef>
              <c:f>'DCF Valuation Model - BLANK'!$B$32</c:f>
              <c:strCache>
                <c:ptCount val="1"/>
                <c:pt idx="0">
                  <c:v>EBITDA</c:v>
                </c:pt>
              </c:strCache>
            </c:strRef>
          </c:tx>
          <c:spPr>
            <a:gradFill>
              <a:gsLst>
                <a:gs pos="0">
                  <a:srgbClr val="00EAF0"/>
                </a:gs>
                <a:gs pos="100000">
                  <a:srgbClr val="0070C0"/>
                </a:gs>
              </a:gsLst>
              <a:lin ang="2700000" scaled="0"/>
            </a:gradFill>
            <a:ln>
              <a:noFill/>
            </a:ln>
          </c:spPr>
          <c:invertIfNegative val="0"/>
          <c:cat>
            <c:numRef>
              <c:f>'DCF Valuation Model - BLANK'!$C$20:$J$20</c:f>
              <c:numCache>
                <c:formatCode>0000\ \A</c:formatCode>
                <c:ptCount val="8"/>
                <c:pt idx="0">
                  <c:v>2022</c:v>
                </c:pt>
                <c:pt idx="1">
                  <c:v>2023</c:v>
                </c:pt>
                <c:pt idx="2">
                  <c:v>2024</c:v>
                </c:pt>
                <c:pt idx="3" formatCode="0000\ \F">
                  <c:v>2025</c:v>
                </c:pt>
                <c:pt idx="4" formatCode="0000\ \F">
                  <c:v>2026</c:v>
                </c:pt>
                <c:pt idx="5" formatCode="0000\ \F">
                  <c:v>2027</c:v>
                </c:pt>
                <c:pt idx="6" formatCode="0000\ \F">
                  <c:v>2028</c:v>
                </c:pt>
                <c:pt idx="7" formatCode="0000\ \F">
                  <c:v>2029</c:v>
                </c:pt>
              </c:numCache>
            </c:numRef>
          </c:cat>
          <c:val>
            <c:numRef>
              <c:f>'DCF Valuation Model - BLANK'!$C$32:$J$32</c:f>
              <c:numCache>
                <c:formatCode>#,##0_);\(#,##0\)</c:formatCode>
                <c:ptCount val="8"/>
                <c:pt idx="0">
                  <c:v>-1</c:v>
                </c:pt>
                <c:pt idx="1">
                  <c:v>-1</c:v>
                </c:pt>
                <c:pt idx="2">
                  <c:v>-1</c:v>
                </c:pt>
                <c:pt idx="3">
                  <c:v>-2.9899</c:v>
                </c:pt>
                <c:pt idx="4">
                  <c:v>-2.9897990000000001</c:v>
                </c:pt>
                <c:pt idx="5">
                  <c:v>-2.9896969900000001</c:v>
                </c:pt>
                <c:pt idx="6">
                  <c:v>-2.9895939599000001</c:v>
                </c:pt>
                <c:pt idx="7">
                  <c:v>-2.989489899499</c:v>
                </c:pt>
              </c:numCache>
            </c:numRef>
          </c:val>
          <c:extLst>
            <c:ext xmlns:c16="http://schemas.microsoft.com/office/drawing/2014/chart" uri="{C3380CC4-5D6E-409C-BE32-E72D297353CC}">
              <c16:uniqueId val="{00000001-CCD3-3644-8C80-1CB23DF77B56}"/>
            </c:ext>
          </c:extLst>
        </c:ser>
        <c:dLbls>
          <c:showLegendKey val="0"/>
          <c:showVal val="0"/>
          <c:showCatName val="0"/>
          <c:showSerName val="0"/>
          <c:showPercent val="0"/>
          <c:showBubbleSize val="0"/>
        </c:dLbls>
        <c:gapWidth val="150"/>
        <c:axId val="-554002880"/>
        <c:axId val="-513426288"/>
      </c:barChart>
      <c:lineChart>
        <c:grouping val="standard"/>
        <c:varyColors val="0"/>
        <c:ser>
          <c:idx val="2"/>
          <c:order val="2"/>
          <c:tx>
            <c:strRef>
              <c:f>'DCF Valuation Model - BLANK'!$B$33</c:f>
              <c:strCache>
                <c:ptCount val="1"/>
                <c:pt idx="0">
                  <c:v>%</c:v>
                </c:pt>
              </c:strCache>
            </c:strRef>
          </c:tx>
          <c:spPr>
            <a:ln>
              <a:solidFill>
                <a:schemeClr val="accent4">
                  <a:lumMod val="75000"/>
                </a:schemeClr>
              </a:solidFill>
              <a:prstDash val="sysDot"/>
            </a:ln>
          </c:spPr>
          <c:marker>
            <c:symbol val="none"/>
          </c:marker>
          <c:val>
            <c:numRef>
              <c:f>'DCF Valuation Model - BLANK'!$C$33:$J$33</c:f>
              <c:numCache>
                <c:formatCode>0.0%</c:formatCode>
                <c:ptCount val="8"/>
                <c:pt idx="0">
                  <c:v>-1</c:v>
                </c:pt>
                <c:pt idx="1">
                  <c:v>-1</c:v>
                </c:pt>
                <c:pt idx="2">
                  <c:v>-1</c:v>
                </c:pt>
                <c:pt idx="3">
                  <c:v>-2.9602970297029705</c:v>
                </c:pt>
                <c:pt idx="4">
                  <c:v>-2.9308881482207627</c:v>
                </c:pt>
                <c:pt idx="5">
                  <c:v>-2.9017704437829335</c:v>
                </c:pt>
                <c:pt idx="6">
                  <c:v>-2.8729410334484489</c:v>
                </c:pt>
                <c:pt idx="7">
                  <c:v>-2.8443970628202466</c:v>
                </c:pt>
              </c:numCache>
            </c:numRef>
          </c:val>
          <c:smooth val="0"/>
          <c:extLst>
            <c:ext xmlns:c16="http://schemas.microsoft.com/office/drawing/2014/chart" uri="{C3380CC4-5D6E-409C-BE32-E72D297353CC}">
              <c16:uniqueId val="{00000002-CCD3-3644-8C80-1CB23DF77B56}"/>
            </c:ext>
          </c:extLst>
        </c:ser>
        <c:dLbls>
          <c:showLegendKey val="0"/>
          <c:showVal val="0"/>
          <c:showCatName val="0"/>
          <c:showSerName val="0"/>
          <c:showPercent val="0"/>
          <c:showBubbleSize val="0"/>
        </c:dLbls>
        <c:marker val="1"/>
        <c:smooth val="0"/>
        <c:axId val="-554429584"/>
        <c:axId val="-561866112"/>
      </c:lineChart>
      <c:catAx>
        <c:axId val="-554002880"/>
        <c:scaling>
          <c:orientation val="minMax"/>
        </c:scaling>
        <c:delete val="0"/>
        <c:axPos val="b"/>
        <c:numFmt formatCode="0000\ \A" sourceLinked="1"/>
        <c:majorTickMark val="none"/>
        <c:minorTickMark val="none"/>
        <c:tickLblPos val="nextTo"/>
        <c:crossAx val="-513426288"/>
        <c:crosses val="autoZero"/>
        <c:auto val="1"/>
        <c:lblAlgn val="ctr"/>
        <c:lblOffset val="100"/>
        <c:noMultiLvlLbl val="0"/>
      </c:catAx>
      <c:valAx>
        <c:axId val="-513426288"/>
        <c:scaling>
          <c:orientation val="minMax"/>
        </c:scaling>
        <c:delete val="0"/>
        <c:axPos val="l"/>
        <c:majorGridlines>
          <c:spPr>
            <a:ln>
              <a:noFill/>
            </a:ln>
          </c:spPr>
        </c:majorGridlines>
        <c:numFmt formatCode="#,##0" sourceLinked="0"/>
        <c:majorTickMark val="out"/>
        <c:minorTickMark val="none"/>
        <c:tickLblPos val="nextTo"/>
        <c:spPr>
          <a:noFill/>
          <a:ln>
            <a:noFill/>
          </a:ln>
        </c:spPr>
        <c:crossAx val="-554002880"/>
        <c:crosses val="autoZero"/>
        <c:crossBetween val="between"/>
      </c:valAx>
      <c:valAx>
        <c:axId val="-561866112"/>
        <c:scaling>
          <c:orientation val="minMax"/>
        </c:scaling>
        <c:delete val="0"/>
        <c:axPos val="r"/>
        <c:numFmt formatCode="0.0%" sourceLinked="0"/>
        <c:majorTickMark val="out"/>
        <c:minorTickMark val="none"/>
        <c:tickLblPos val="nextTo"/>
        <c:crossAx val="-554429584"/>
        <c:crosses val="max"/>
        <c:crossBetween val="between"/>
      </c:valAx>
      <c:catAx>
        <c:axId val="-554429584"/>
        <c:scaling>
          <c:orientation val="minMax"/>
        </c:scaling>
        <c:delete val="1"/>
        <c:axPos val="b"/>
        <c:numFmt formatCode="0000\ \A" sourceLinked="1"/>
        <c:majorTickMark val="out"/>
        <c:minorTickMark val="none"/>
        <c:tickLblPos val="nextTo"/>
        <c:crossAx val="-561866112"/>
        <c:crosses val="autoZero"/>
        <c:auto val="1"/>
        <c:lblAlgn val="ctr"/>
        <c:lblOffset val="100"/>
        <c:noMultiLvlLbl val="0"/>
      </c:catAx>
      <c:spPr>
        <a:noFill/>
      </c:spPr>
    </c:plotArea>
    <c:legend>
      <c:legendPos val="r"/>
      <c:layout>
        <c:manualLayout>
          <c:xMode val="edge"/>
          <c:yMode val="edge"/>
          <c:x val="9.8033411364119999E-2"/>
          <c:y val="1.77369680055816E-2"/>
          <c:w val="0.83717088827751895"/>
          <c:h val="7.6624140336888302E-2"/>
        </c:manualLayout>
      </c:layout>
      <c:overlay val="0"/>
    </c:legend>
    <c:plotVisOnly val="1"/>
    <c:dispBlanksAs val="gap"/>
    <c:showDLblsOverMax val="0"/>
  </c:chart>
  <c:spPr>
    <a:noFill/>
    <a:ln>
      <a:noFill/>
    </a:ln>
  </c:spPr>
  <c:txPr>
    <a:bodyPr/>
    <a:lstStyle/>
    <a:p>
      <a:pPr>
        <a:defRPr sz="1050">
          <a:latin typeface="Century Gothic" panose="020B0502020202020204" pitchFamily="34" charset="0"/>
        </a:defRPr>
      </a:pPr>
      <a:endParaRPr lang="ru-RU"/>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bit.ly/3iAYz8U"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1028700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12EE8EF-16D9-4D43-84D0-093E953EE05B}"/>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50800</xdr:colOff>
      <xdr:row>4</xdr:row>
      <xdr:rowOff>88901</xdr:rowOff>
    </xdr:from>
    <xdr:to>
      <xdr:col>9</xdr:col>
      <xdr:colOff>1193799</xdr:colOff>
      <xdr:row>4</xdr:row>
      <xdr:rowOff>5003801</xdr:rowOff>
    </xdr:to>
    <xdr:graphicFrame macro="">
      <xdr:nvGraphicFramePr>
        <xdr:cNvPr id="3" name="Diagramm 3">
          <a:extLst>
            <a:ext uri="{FF2B5EF4-FFF2-40B4-BE49-F238E27FC236}">
              <a16:creationId xmlns:a16="http://schemas.microsoft.com/office/drawing/2014/main" id="{E0F24789-50F0-7845-A6D9-3D88C2B52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3</xdr:row>
      <xdr:rowOff>88901</xdr:rowOff>
    </xdr:from>
    <xdr:to>
      <xdr:col>9</xdr:col>
      <xdr:colOff>1193799</xdr:colOff>
      <xdr:row>3</xdr:row>
      <xdr:rowOff>5003801</xdr:rowOff>
    </xdr:to>
    <xdr:graphicFrame macro="">
      <xdr:nvGraphicFramePr>
        <xdr:cNvPr id="3" name="Diagramm 3">
          <a:extLst>
            <a:ext uri="{FF2B5EF4-FFF2-40B4-BE49-F238E27FC236}">
              <a16:creationId xmlns:a16="http://schemas.microsoft.com/office/drawing/2014/main" id="{0E2310B7-DEDF-434C-804E-594F60135C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AYz8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F53D2-DEE0-CE4A-BB3E-6D793A3386BD}">
  <sheetPr>
    <tabColor theme="3" tint="0.59999389629810485"/>
    <outlinePr summaryBelow="0"/>
    <pageSetUpPr fitToPage="1"/>
  </sheetPr>
  <dimension ref="A1:J159"/>
  <sheetViews>
    <sheetView showGridLines="0" tabSelected="1" workbookViewId="0">
      <pane ySplit="2" topLeftCell="A3" activePane="bottomLeft" state="frozen"/>
      <selection pane="bottomLeft" activeCell="B159" sqref="B159:J159"/>
    </sheetView>
  </sheetViews>
  <sheetFormatPr defaultColWidth="8.81640625" defaultRowHeight="14.5" x14ac:dyDescent="0.35"/>
  <cols>
    <col min="1" max="1" width="3.36328125" style="1" customWidth="1"/>
    <col min="2" max="2" width="30.81640625" style="1" customWidth="1"/>
    <col min="3" max="10" width="16.81640625" style="1" customWidth="1"/>
    <col min="11" max="11" width="3.36328125" style="1" customWidth="1"/>
    <col min="12" max="16384" width="8.81640625" style="1"/>
  </cols>
  <sheetData>
    <row r="1" spans="2:10" ht="200" customHeight="1" x14ac:dyDescent="0.35">
      <c r="C1" s="2"/>
      <c r="D1" s="2"/>
      <c r="E1" s="2"/>
      <c r="F1" s="2"/>
    </row>
    <row r="2" spans="2:10" s="3" customFormat="1" ht="42" customHeight="1" x14ac:dyDescent="0.35">
      <c r="B2" s="4" t="s">
        <v>11</v>
      </c>
    </row>
    <row r="3" spans="2:10" s="8" customFormat="1" ht="25" customHeight="1" x14ac:dyDescent="0.25">
      <c r="B3" s="222" t="s">
        <v>2</v>
      </c>
      <c r="C3" s="7"/>
      <c r="D3" s="7"/>
      <c r="E3" s="7"/>
    </row>
    <row r="4" spans="2:10" ht="20.5" x14ac:dyDescent="0.4">
      <c r="B4" s="17" t="s">
        <v>32</v>
      </c>
      <c r="C4" s="14"/>
      <c r="D4" s="14"/>
      <c r="E4" s="14"/>
      <c r="F4" s="14"/>
      <c r="G4" s="14"/>
      <c r="H4" s="14"/>
      <c r="I4" s="14"/>
      <c r="J4" s="14"/>
    </row>
    <row r="5" spans="2:10" ht="400" customHeight="1" x14ac:dyDescent="0.35">
      <c r="B5" s="16"/>
      <c r="C5" s="16"/>
      <c r="D5" s="16"/>
      <c r="E5" s="16"/>
      <c r="F5" s="16"/>
      <c r="G5" s="16"/>
      <c r="H5" s="16"/>
      <c r="I5" s="16"/>
      <c r="J5" s="16"/>
    </row>
    <row r="6" spans="2:10" s="18" customFormat="1" ht="25" customHeight="1" x14ac:dyDescent="0.35">
      <c r="B6" s="67" t="s">
        <v>34</v>
      </c>
      <c r="C6" s="68"/>
      <c r="D6" s="68"/>
      <c r="E6" s="68"/>
      <c r="F6" s="19" t="s">
        <v>33</v>
      </c>
      <c r="G6" s="19"/>
      <c r="H6" s="19"/>
      <c r="I6" s="19"/>
      <c r="J6" s="19"/>
    </row>
    <row r="7" spans="2:10" s="18" customFormat="1" ht="20" customHeight="1" thickBot="1" x14ac:dyDescent="0.4">
      <c r="B7" s="10" t="s">
        <v>104</v>
      </c>
      <c r="C7" s="113">
        <v>4.5</v>
      </c>
      <c r="D7" s="68"/>
      <c r="E7" s="68"/>
      <c r="F7" s="52" t="s">
        <v>9</v>
      </c>
      <c r="G7" s="53">
        <f>'DCF Valuation Model - EXAMPLE'!E128</f>
        <v>2163230.5044542402</v>
      </c>
      <c r="H7" s="1"/>
      <c r="I7" s="58" t="s">
        <v>40</v>
      </c>
      <c r="J7" s="59"/>
    </row>
    <row r="8" spans="2:10" s="18" customFormat="1" ht="20" customHeight="1" x14ac:dyDescent="0.35">
      <c r="B8" s="10" t="s">
        <v>13</v>
      </c>
      <c r="C8" s="114">
        <v>0.1</v>
      </c>
      <c r="D8" s="68"/>
      <c r="E8" s="68"/>
      <c r="F8" s="56" t="s">
        <v>14</v>
      </c>
      <c r="G8" s="62">
        <f>'DCF Valuation Model - EXAMPLE'!E52</f>
        <v>-1864000</v>
      </c>
      <c r="H8" s="1"/>
      <c r="I8" s="56" t="str">
        <f>'DCF Valuation Model - EXAMPLE'!B134</f>
        <v>EV/EBITDA</v>
      </c>
      <c r="J8" s="64">
        <f>'DCF Valuation Model - EXAMPLE'!E134</f>
        <v>3.7621400077465048</v>
      </c>
    </row>
    <row r="9" spans="2:10" s="18" customFormat="1" ht="20" customHeight="1" thickBot="1" x14ac:dyDescent="0.4">
      <c r="B9" s="11" t="s">
        <v>102</v>
      </c>
      <c r="C9" s="115">
        <v>1</v>
      </c>
      <c r="D9" s="68"/>
      <c r="E9" s="68"/>
      <c r="F9" s="57" t="s">
        <v>18</v>
      </c>
      <c r="G9" s="63">
        <f>-'DCF Valuation Model - EXAMPLE'!E59</f>
        <v>-2250000</v>
      </c>
      <c r="H9" s="1"/>
      <c r="I9" s="60" t="str">
        <f>'DCF Valuation Model - EXAMPLE'!B135</f>
        <v>PE</v>
      </c>
      <c r="J9" s="65">
        <f>'DCF Valuation Model - EXAMPLE'!E135</f>
        <v>-8.3011467895564248</v>
      </c>
    </row>
    <row r="10" spans="2:10" s="18" customFormat="1" ht="20" customHeight="1" thickBot="1" x14ac:dyDescent="0.4">
      <c r="B10" s="150"/>
      <c r="C10" s="116"/>
      <c r="D10" s="68"/>
      <c r="E10" s="68"/>
      <c r="F10" s="54" t="s">
        <v>10</v>
      </c>
      <c r="G10" s="55">
        <f>SUM(G7:G9)</f>
        <v>-1950769.4955457598</v>
      </c>
      <c r="H10" s="1"/>
      <c r="I10" s="61" t="str">
        <f>'DCF Valuation Model - EXAMPLE'!B136</f>
        <v>P/B</v>
      </c>
      <c r="J10" s="66">
        <f>'DCF Valuation Model - EXAMPLE'!E136</f>
        <v>6.6352703930127888</v>
      </c>
    </row>
    <row r="11" spans="2:10" x14ac:dyDescent="0.35">
      <c r="B11" s="9"/>
      <c r="C11" s="9"/>
      <c r="D11" s="9"/>
      <c r="E11" s="9"/>
      <c r="F11" s="9"/>
      <c r="G11" s="9"/>
      <c r="H11" s="9"/>
      <c r="I11" s="9"/>
      <c r="J11" s="9"/>
    </row>
    <row r="12" spans="2:10" s="20" customFormat="1" ht="25" customHeight="1" x14ac:dyDescent="0.35">
      <c r="B12" s="19" t="s">
        <v>4</v>
      </c>
      <c r="C12" s="19"/>
      <c r="D12" s="19"/>
      <c r="E12" s="19"/>
    </row>
    <row r="13" spans="2:10" ht="20" customHeight="1" x14ac:dyDescent="0.35">
      <c r="B13" s="42" t="s">
        <v>35</v>
      </c>
      <c r="C13" s="43" t="s">
        <v>19</v>
      </c>
      <c r="D13" s="46">
        <v>2025</v>
      </c>
      <c r="E13" s="45"/>
    </row>
    <row r="14" spans="2:10" ht="20" customHeight="1" x14ac:dyDescent="0.35">
      <c r="B14" s="12" t="s">
        <v>36</v>
      </c>
      <c r="C14" s="10" t="s">
        <v>12</v>
      </c>
      <c r="D14" s="47">
        <v>0.05</v>
      </c>
      <c r="E14" s="45"/>
    </row>
    <row r="15" spans="2:10" ht="20" customHeight="1" x14ac:dyDescent="0.35">
      <c r="B15" s="12" t="s">
        <v>5</v>
      </c>
      <c r="C15" s="10" t="s">
        <v>12</v>
      </c>
      <c r="D15" s="47">
        <v>0.27</v>
      </c>
      <c r="E15" s="45"/>
    </row>
    <row r="16" spans="2:10" ht="20" customHeight="1" x14ac:dyDescent="0.35">
      <c r="B16" s="42" t="s">
        <v>37</v>
      </c>
      <c r="C16" s="43" t="s">
        <v>20</v>
      </c>
      <c r="D16" s="48">
        <v>40</v>
      </c>
      <c r="E16" s="45"/>
    </row>
    <row r="17" spans="2:10" ht="20" customHeight="1" x14ac:dyDescent="0.35">
      <c r="B17" s="42" t="s">
        <v>38</v>
      </c>
      <c r="C17" s="43" t="s">
        <v>21</v>
      </c>
      <c r="D17" s="48">
        <v>60</v>
      </c>
      <c r="E17" s="45"/>
      <c r="F17" s="33"/>
      <c r="G17" s="44"/>
      <c r="H17" s="34"/>
      <c r="I17" s="32"/>
      <c r="J17" s="32"/>
    </row>
    <row r="18" spans="2:10" ht="20" customHeight="1" thickBot="1" x14ac:dyDescent="0.4">
      <c r="B18" s="49" t="s">
        <v>39</v>
      </c>
      <c r="C18" s="50" t="s">
        <v>21</v>
      </c>
      <c r="D18" s="51">
        <v>30</v>
      </c>
      <c r="E18" s="45"/>
      <c r="I18" s="32"/>
      <c r="J18" s="32"/>
    </row>
    <row r="19" spans="2:10" x14ac:dyDescent="0.35">
      <c r="B19" s="9"/>
      <c r="C19" s="9"/>
      <c r="D19" s="9"/>
      <c r="E19" s="9"/>
      <c r="F19" s="9"/>
      <c r="G19" s="9"/>
      <c r="H19" s="9"/>
      <c r="I19" s="9"/>
      <c r="J19" s="9"/>
    </row>
    <row r="20" spans="2:10" s="20" customFormat="1" ht="25" customHeight="1" x14ac:dyDescent="0.35">
      <c r="B20" s="21" t="s">
        <v>31</v>
      </c>
      <c r="C20" s="21"/>
      <c r="D20" s="21"/>
      <c r="E20" s="21"/>
      <c r="F20" s="22"/>
      <c r="G20" s="23"/>
      <c r="H20" s="21"/>
      <c r="I20" s="21"/>
      <c r="J20" s="21"/>
    </row>
    <row r="21" spans="2:10" s="72" customFormat="1" ht="20" customHeight="1" x14ac:dyDescent="0.35">
      <c r="B21" s="69"/>
      <c r="C21" s="70">
        <f>D21-1</f>
        <v>2022</v>
      </c>
      <c r="D21" s="70">
        <f>E21-1</f>
        <v>2023</v>
      </c>
      <c r="E21" s="70">
        <f>F21-1</f>
        <v>2024</v>
      </c>
      <c r="F21" s="71">
        <f>'DCF Valuation Model - EXAMPLE'!D13</f>
        <v>2025</v>
      </c>
      <c r="G21" s="71">
        <f>F21+1</f>
        <v>2026</v>
      </c>
      <c r="H21" s="71">
        <f>G21+1</f>
        <v>2027</v>
      </c>
      <c r="I21" s="71">
        <f>H21+1</f>
        <v>2028</v>
      </c>
      <c r="J21" s="71">
        <f>I21+1</f>
        <v>2029</v>
      </c>
    </row>
    <row r="22" spans="2:10" ht="20" customHeight="1" thickBot="1" x14ac:dyDescent="0.4">
      <c r="B22" s="181" t="s">
        <v>60</v>
      </c>
      <c r="C22" s="191">
        <v>2750000</v>
      </c>
      <c r="D22" s="191">
        <v>3250000</v>
      </c>
      <c r="E22" s="191">
        <v>4500000</v>
      </c>
      <c r="F22" s="108">
        <f>E22*(1+F23)</f>
        <v>5175000</v>
      </c>
      <c r="G22" s="108">
        <f>F22*(1+G23)</f>
        <v>5692500</v>
      </c>
      <c r="H22" s="108">
        <f>G22*(1+H23)</f>
        <v>6261750.0000000009</v>
      </c>
      <c r="I22" s="108">
        <f>H22*(1+I23)</f>
        <v>6887925.0000000019</v>
      </c>
      <c r="J22" s="111">
        <f>I22*(1+J23)</f>
        <v>7404519.3750000019</v>
      </c>
    </row>
    <row r="23" spans="2:10" ht="20" customHeight="1" thickBot="1" x14ac:dyDescent="0.4">
      <c r="B23" s="182" t="s">
        <v>61</v>
      </c>
      <c r="C23" s="190"/>
      <c r="D23" s="189">
        <f>D22/C22-1</f>
        <v>0.18181818181818188</v>
      </c>
      <c r="E23" s="189">
        <f>E22/D22-1</f>
        <v>0.38461538461538458</v>
      </c>
      <c r="F23" s="192">
        <v>0.15</v>
      </c>
      <c r="G23" s="192">
        <v>0.1</v>
      </c>
      <c r="H23" s="192">
        <v>0.1</v>
      </c>
      <c r="I23" s="192">
        <v>0.1</v>
      </c>
      <c r="J23" s="193">
        <v>7.4999999999999997E-2</v>
      </c>
    </row>
    <row r="24" spans="2:10" x14ac:dyDescent="0.35">
      <c r="B24" s="158"/>
      <c r="C24" s="32"/>
      <c r="D24" s="32"/>
      <c r="E24" s="32"/>
      <c r="F24" s="27"/>
      <c r="G24" s="27"/>
      <c r="H24" s="27"/>
      <c r="I24" s="27"/>
      <c r="J24" s="27"/>
    </row>
    <row r="25" spans="2:10" ht="20" customHeight="1" thickBot="1" x14ac:dyDescent="0.4">
      <c r="B25" s="49" t="s">
        <v>22</v>
      </c>
      <c r="C25" s="194">
        <v>-1800000</v>
      </c>
      <c r="D25" s="194">
        <v>-2500000</v>
      </c>
      <c r="E25" s="194">
        <v>-2600000</v>
      </c>
      <c r="F25" s="97">
        <f>-(F22-F26)</f>
        <v>-3156750</v>
      </c>
      <c r="G25" s="97">
        <f>-(G22-G26)</f>
        <v>-3472425</v>
      </c>
      <c r="H25" s="97">
        <f>-(H22-H26)</f>
        <v>-3819667.5000000005</v>
      </c>
      <c r="I25" s="97">
        <f>-(I22-I26)</f>
        <v>-4201634.2500000009</v>
      </c>
      <c r="J25" s="109">
        <f>-(J22-J26)</f>
        <v>-4516756.8187500015</v>
      </c>
    </row>
    <row r="26" spans="2:10" ht="20" customHeight="1" thickBot="1" x14ac:dyDescent="0.4">
      <c r="B26" s="49" t="s">
        <v>62</v>
      </c>
      <c r="C26" s="97">
        <f>C22+C25</f>
        <v>950000</v>
      </c>
      <c r="D26" s="97">
        <f>D22+D25</f>
        <v>750000</v>
      </c>
      <c r="E26" s="97">
        <f>E22+E25</f>
        <v>1900000</v>
      </c>
      <c r="F26" s="97">
        <f>F22*F27</f>
        <v>2018250</v>
      </c>
      <c r="G26" s="97">
        <f>G22*G27</f>
        <v>2220075</v>
      </c>
      <c r="H26" s="97">
        <f>H22*H27</f>
        <v>2442082.5000000005</v>
      </c>
      <c r="I26" s="97">
        <f>I22*I27</f>
        <v>2686290.7500000009</v>
      </c>
      <c r="J26" s="109">
        <f>J22*J27</f>
        <v>2887762.5562500008</v>
      </c>
    </row>
    <row r="27" spans="2:10" ht="20" customHeight="1" thickBot="1" x14ac:dyDescent="0.4">
      <c r="B27" s="182" t="s">
        <v>12</v>
      </c>
      <c r="C27" s="185">
        <f>IF(ISERR(C26/C$22),"NA",C26/C$22)</f>
        <v>0.34545454545454546</v>
      </c>
      <c r="D27" s="185">
        <f>IF(ISERR(D26/D$22),"NA",D26/D$22)</f>
        <v>0.23076923076923078</v>
      </c>
      <c r="E27" s="185">
        <f>IF(ISERR(E26/E$22),"NA",E26/E$22)</f>
        <v>0.42222222222222222</v>
      </c>
      <c r="F27" s="198">
        <v>0.39</v>
      </c>
      <c r="G27" s="231">
        <f>F27</f>
        <v>0.39</v>
      </c>
      <c r="H27" s="231">
        <f>G27</f>
        <v>0.39</v>
      </c>
      <c r="I27" s="231">
        <f>H27</f>
        <v>0.39</v>
      </c>
      <c r="J27" s="232">
        <f>I27</f>
        <v>0.39</v>
      </c>
    </row>
    <row r="28" spans="2:10" x14ac:dyDescent="0.35">
      <c r="B28" s="158"/>
      <c r="C28" s="32"/>
      <c r="D28" s="32"/>
      <c r="E28" s="32"/>
      <c r="F28" s="27"/>
      <c r="G28" s="27"/>
      <c r="H28" s="27"/>
      <c r="I28" s="27"/>
      <c r="J28" s="27"/>
    </row>
    <row r="29" spans="2:10" ht="20" customHeight="1" x14ac:dyDescent="0.35">
      <c r="B29" s="42" t="s">
        <v>63</v>
      </c>
      <c r="C29" s="195">
        <v>-285000</v>
      </c>
      <c r="D29" s="195">
        <v>-300000</v>
      </c>
      <c r="E29" s="233">
        <v>-325000</v>
      </c>
      <c r="F29" s="195">
        <v>-400000</v>
      </c>
      <c r="G29" s="195">
        <v>-425000</v>
      </c>
      <c r="H29" s="195">
        <v>-450000</v>
      </c>
      <c r="I29" s="195">
        <v>-500000</v>
      </c>
      <c r="J29" s="196">
        <v>-550000</v>
      </c>
    </row>
    <row r="30" spans="2:10" ht="20" customHeight="1" x14ac:dyDescent="0.35">
      <c r="B30" s="42" t="s">
        <v>64</v>
      </c>
      <c r="C30" s="195">
        <v>-400000</v>
      </c>
      <c r="D30" s="195">
        <v>-600000</v>
      </c>
      <c r="E30" s="195">
        <v>-650000</v>
      </c>
      <c r="F30" s="195">
        <v>-800000</v>
      </c>
      <c r="G30" s="195">
        <v>-850000</v>
      </c>
      <c r="H30" s="195">
        <v>-900000</v>
      </c>
      <c r="I30" s="195">
        <v>-900000</v>
      </c>
      <c r="J30" s="196">
        <v>-900000</v>
      </c>
    </row>
    <row r="31" spans="2:10" ht="20" customHeight="1" x14ac:dyDescent="0.35">
      <c r="B31" s="42" t="s">
        <v>65</v>
      </c>
      <c r="C31" s="195">
        <v>-280000</v>
      </c>
      <c r="D31" s="195">
        <v>-300000</v>
      </c>
      <c r="E31" s="195">
        <v>-350000</v>
      </c>
      <c r="F31" s="195">
        <v>-350000</v>
      </c>
      <c r="G31" s="195">
        <v>-350000</v>
      </c>
      <c r="H31" s="195">
        <v>-400000</v>
      </c>
      <c r="I31" s="195">
        <v>-400000</v>
      </c>
      <c r="J31" s="196">
        <v>-400000</v>
      </c>
    </row>
    <row r="32" spans="2:10" ht="20" customHeight="1" thickBot="1" x14ac:dyDescent="0.4">
      <c r="B32" s="49" t="s">
        <v>23</v>
      </c>
      <c r="C32" s="97">
        <f t="shared" ref="C32:J32" si="0">SUM(C29:C31)</f>
        <v>-965000</v>
      </c>
      <c r="D32" s="97">
        <f t="shared" si="0"/>
        <v>-1200000</v>
      </c>
      <c r="E32" s="97">
        <f t="shared" si="0"/>
        <v>-1325000</v>
      </c>
      <c r="F32" s="97">
        <f t="shared" si="0"/>
        <v>-1550000</v>
      </c>
      <c r="G32" s="97">
        <f t="shared" si="0"/>
        <v>-1625000</v>
      </c>
      <c r="H32" s="97">
        <f t="shared" si="0"/>
        <v>-1750000</v>
      </c>
      <c r="I32" s="97">
        <f t="shared" si="0"/>
        <v>-1800000</v>
      </c>
      <c r="J32" s="109">
        <f t="shared" si="0"/>
        <v>-1850000</v>
      </c>
    </row>
    <row r="33" spans="2:10" ht="20" customHeight="1" thickBot="1" x14ac:dyDescent="0.4">
      <c r="B33" s="181" t="s">
        <v>24</v>
      </c>
      <c r="C33" s="108">
        <f t="shared" ref="C33:J33" si="1">C26+C32</f>
        <v>-15000</v>
      </c>
      <c r="D33" s="108">
        <f t="shared" si="1"/>
        <v>-450000</v>
      </c>
      <c r="E33" s="108">
        <f t="shared" si="1"/>
        <v>575000</v>
      </c>
      <c r="F33" s="108">
        <f t="shared" si="1"/>
        <v>468250</v>
      </c>
      <c r="G33" s="108">
        <f t="shared" si="1"/>
        <v>595075</v>
      </c>
      <c r="H33" s="108">
        <f t="shared" si="1"/>
        <v>692082.50000000047</v>
      </c>
      <c r="I33" s="108">
        <f t="shared" si="1"/>
        <v>886290.75000000093</v>
      </c>
      <c r="J33" s="111">
        <f t="shared" si="1"/>
        <v>1037762.5562500008</v>
      </c>
    </row>
    <row r="34" spans="2:10" ht="20" customHeight="1" thickBot="1" x14ac:dyDescent="0.4">
      <c r="B34" s="182" t="s">
        <v>12</v>
      </c>
      <c r="C34" s="185">
        <f t="shared" ref="C34:J34" si="2">IF(ISERR(C33/C$22),"NA",C33/C$22)</f>
        <v>-5.454545454545455E-3</v>
      </c>
      <c r="D34" s="185">
        <f t="shared" si="2"/>
        <v>-0.13846153846153847</v>
      </c>
      <c r="E34" s="185">
        <f t="shared" si="2"/>
        <v>0.12777777777777777</v>
      </c>
      <c r="F34" s="185">
        <f t="shared" si="2"/>
        <v>9.0483091787439615E-2</v>
      </c>
      <c r="G34" s="185">
        <f t="shared" si="2"/>
        <v>0.10453667105841019</v>
      </c>
      <c r="H34" s="185">
        <f t="shared" si="2"/>
        <v>0.11052541222501702</v>
      </c>
      <c r="I34" s="185">
        <f t="shared" si="2"/>
        <v>0.1286731127298861</v>
      </c>
      <c r="J34" s="186">
        <f t="shared" si="2"/>
        <v>0.14015258839808228</v>
      </c>
    </row>
    <row r="35" spans="2:10" x14ac:dyDescent="0.35">
      <c r="B35" s="180"/>
      <c r="C35" s="38"/>
      <c r="D35" s="38"/>
      <c r="E35" s="38"/>
      <c r="F35" s="39"/>
      <c r="G35" s="39"/>
      <c r="H35" s="39"/>
      <c r="I35" s="39"/>
      <c r="J35" s="39"/>
    </row>
    <row r="36" spans="2:10" ht="20" customHeight="1" x14ac:dyDescent="0.35">
      <c r="B36" s="42" t="s">
        <v>66</v>
      </c>
      <c r="C36" s="195">
        <v>-150000</v>
      </c>
      <c r="D36" s="195">
        <v>-175000</v>
      </c>
      <c r="E36" s="195">
        <v>-200000</v>
      </c>
      <c r="F36" s="92">
        <f>-F106</f>
        <v>-125000</v>
      </c>
      <c r="G36" s="92">
        <f>-G106</f>
        <v>-170000</v>
      </c>
      <c r="H36" s="92">
        <f>-H106</f>
        <v>-215000</v>
      </c>
      <c r="I36" s="92">
        <f>-I106</f>
        <v>-261250</v>
      </c>
      <c r="J36" s="184">
        <f>-J106</f>
        <v>-320000</v>
      </c>
    </row>
    <row r="37" spans="2:10" ht="20" customHeight="1" thickBot="1" x14ac:dyDescent="0.4">
      <c r="B37" s="181" t="s">
        <v>3</v>
      </c>
      <c r="C37" s="108">
        <f t="shared" ref="C37:J37" si="3">C33+SUM(C36:C36)</f>
        <v>-165000</v>
      </c>
      <c r="D37" s="108">
        <f t="shared" si="3"/>
        <v>-625000</v>
      </c>
      <c r="E37" s="108">
        <f t="shared" si="3"/>
        <v>375000</v>
      </c>
      <c r="F37" s="108">
        <f t="shared" si="3"/>
        <v>343250</v>
      </c>
      <c r="G37" s="108">
        <f t="shared" si="3"/>
        <v>425075</v>
      </c>
      <c r="H37" s="108">
        <f t="shared" si="3"/>
        <v>477082.50000000047</v>
      </c>
      <c r="I37" s="108">
        <f t="shared" si="3"/>
        <v>625040.75000000093</v>
      </c>
      <c r="J37" s="111">
        <f t="shared" si="3"/>
        <v>717762.55625000084</v>
      </c>
    </row>
    <row r="38" spans="2:10" ht="20" customHeight="1" thickBot="1" x14ac:dyDescent="0.4">
      <c r="B38" s="182" t="s">
        <v>12</v>
      </c>
      <c r="C38" s="185">
        <f t="shared" ref="C38:J38" si="4">IF(ISERR(C37/C$22),"NA",C37/C$22)</f>
        <v>-0.06</v>
      </c>
      <c r="D38" s="185">
        <f t="shared" si="4"/>
        <v>-0.19230769230769232</v>
      </c>
      <c r="E38" s="185">
        <f t="shared" si="4"/>
        <v>8.3333333333333329E-2</v>
      </c>
      <c r="F38" s="185">
        <f t="shared" si="4"/>
        <v>6.6328502415458943E-2</v>
      </c>
      <c r="G38" s="185">
        <f t="shared" si="4"/>
        <v>7.4672815107597712E-2</v>
      </c>
      <c r="H38" s="185">
        <f t="shared" si="4"/>
        <v>7.6189962869804825E-2</v>
      </c>
      <c r="I38" s="185">
        <f t="shared" si="4"/>
        <v>9.0744418674709837E-2</v>
      </c>
      <c r="J38" s="186">
        <f t="shared" si="4"/>
        <v>9.6935738823696535E-2</v>
      </c>
    </row>
    <row r="39" spans="2:10" x14ac:dyDescent="0.35">
      <c r="B39" s="180"/>
      <c r="C39" s="32"/>
      <c r="D39" s="32"/>
      <c r="E39" s="32"/>
      <c r="F39" s="39"/>
      <c r="G39" s="39"/>
      <c r="H39" s="39"/>
      <c r="I39" s="39"/>
      <c r="J39" s="39"/>
    </row>
    <row r="40" spans="2:10" ht="20" customHeight="1" x14ac:dyDescent="0.35">
      <c r="B40" s="42" t="s">
        <v>105</v>
      </c>
      <c r="C40" s="195">
        <v>-17000</v>
      </c>
      <c r="D40" s="195">
        <v>-52000</v>
      </c>
      <c r="E40" s="195">
        <v>-60000</v>
      </c>
      <c r="F40" s="92">
        <f>-AVERAGE(E59:F59)*F41</f>
        <v>-101250</v>
      </c>
      <c r="G40" s="92">
        <f>-AVERAGE(F59:G59)*'DCF Valuation Model - EXAMPLE'!$D$14</f>
        <v>-78750</v>
      </c>
      <c r="H40" s="92">
        <f>-AVERAGE(G59:H59)*'DCF Valuation Model - EXAMPLE'!$D$14</f>
        <v>-57500</v>
      </c>
      <c r="I40" s="92">
        <f>-AVERAGE(H59:I59)*'DCF Valuation Model - EXAMPLE'!$D$14</f>
        <v>-38750</v>
      </c>
      <c r="J40" s="184">
        <f>-AVERAGE(I59:J59)*'DCF Valuation Model - EXAMPLE'!$D$14</f>
        <v>-22500</v>
      </c>
    </row>
    <row r="41" spans="2:10" ht="20" customHeight="1" x14ac:dyDescent="0.35">
      <c r="B41" s="42" t="s">
        <v>36</v>
      </c>
      <c r="C41" s="183"/>
      <c r="D41" s="183"/>
      <c r="E41" s="183"/>
      <c r="F41" s="197">
        <v>0.05</v>
      </c>
      <c r="G41" s="234">
        <f>F41</f>
        <v>0.05</v>
      </c>
      <c r="H41" s="234">
        <f>G41</f>
        <v>0.05</v>
      </c>
      <c r="I41" s="234">
        <f>H41</f>
        <v>0.05</v>
      </c>
      <c r="J41" s="235">
        <f>I41</f>
        <v>0.05</v>
      </c>
    </row>
    <row r="42" spans="2:10" ht="20" customHeight="1" thickBot="1" x14ac:dyDescent="0.4">
      <c r="B42" s="181" t="s">
        <v>25</v>
      </c>
      <c r="C42" s="108">
        <f t="shared" ref="C42:J42" si="5">C37+C40</f>
        <v>-182000</v>
      </c>
      <c r="D42" s="108">
        <f t="shared" si="5"/>
        <v>-677000</v>
      </c>
      <c r="E42" s="108">
        <f t="shared" si="5"/>
        <v>315000</v>
      </c>
      <c r="F42" s="108">
        <f t="shared" si="5"/>
        <v>242000</v>
      </c>
      <c r="G42" s="108">
        <f t="shared" si="5"/>
        <v>346325</v>
      </c>
      <c r="H42" s="108">
        <f t="shared" si="5"/>
        <v>419582.50000000047</v>
      </c>
      <c r="I42" s="108">
        <f t="shared" si="5"/>
        <v>586290.75000000093</v>
      </c>
      <c r="J42" s="111">
        <f t="shared" si="5"/>
        <v>695262.55625000084</v>
      </c>
    </row>
    <row r="43" spans="2:10" ht="20" customHeight="1" thickBot="1" x14ac:dyDescent="0.4">
      <c r="B43" s="182" t="s">
        <v>12</v>
      </c>
      <c r="C43" s="185">
        <f t="shared" ref="C43:J43" si="6">IF(ISERR(C42/C$22),"NA",C42/C$22)</f>
        <v>-6.6181818181818175E-2</v>
      </c>
      <c r="D43" s="185">
        <f t="shared" si="6"/>
        <v>-0.2083076923076923</v>
      </c>
      <c r="E43" s="185">
        <f t="shared" si="6"/>
        <v>7.0000000000000007E-2</v>
      </c>
      <c r="F43" s="185">
        <f t="shared" si="6"/>
        <v>4.676328502415459E-2</v>
      </c>
      <c r="G43" s="185">
        <f t="shared" si="6"/>
        <v>6.0838823012736055E-2</v>
      </c>
      <c r="H43" s="185">
        <f t="shared" si="6"/>
        <v>6.7007226414341106E-2</v>
      </c>
      <c r="I43" s="185">
        <f t="shared" si="6"/>
        <v>8.5118631518200441E-2</v>
      </c>
      <c r="J43" s="186">
        <f t="shared" si="6"/>
        <v>9.3897054087997534E-2</v>
      </c>
    </row>
    <row r="44" spans="2:10" x14ac:dyDescent="0.35">
      <c r="B44" s="158"/>
      <c r="C44" s="32"/>
      <c r="D44" s="32"/>
      <c r="E44" s="32"/>
      <c r="F44" s="32"/>
      <c r="G44" s="32"/>
      <c r="H44" s="32"/>
      <c r="I44" s="32"/>
      <c r="J44" s="32"/>
    </row>
    <row r="45" spans="2:10" ht="20" customHeight="1" x14ac:dyDescent="0.35">
      <c r="B45" s="42" t="s">
        <v>5</v>
      </c>
      <c r="C45" s="187">
        <f>-C46/C42</f>
        <v>-0.41208791208791207</v>
      </c>
      <c r="D45" s="187">
        <f>-D46/D42</f>
        <v>-0.12555391432791729</v>
      </c>
      <c r="E45" s="187">
        <f>-E46/E42</f>
        <v>0.25396825396825395</v>
      </c>
      <c r="F45" s="187">
        <f>'DCF Valuation Model - EXAMPLE'!D15</f>
        <v>0.27</v>
      </c>
      <c r="G45" s="187">
        <f>F45</f>
        <v>0.27</v>
      </c>
      <c r="H45" s="187">
        <f>G45</f>
        <v>0.27</v>
      </c>
      <c r="I45" s="187">
        <f>H45</f>
        <v>0.27</v>
      </c>
      <c r="J45" s="188">
        <f>I45</f>
        <v>0.27</v>
      </c>
    </row>
    <row r="46" spans="2:10" ht="20" customHeight="1" x14ac:dyDescent="0.35">
      <c r="B46" s="42" t="s">
        <v>67</v>
      </c>
      <c r="C46" s="195">
        <v>-75000</v>
      </c>
      <c r="D46" s="195">
        <v>-85000</v>
      </c>
      <c r="E46" s="195">
        <v>-80000</v>
      </c>
      <c r="F46" s="83">
        <f>IF(F42&gt;0,-F42*F45,0)</f>
        <v>-65340.000000000007</v>
      </c>
      <c r="G46" s="83">
        <f>IF(G42&gt;0,-G42*G45,0)</f>
        <v>-93507.75</v>
      </c>
      <c r="H46" s="83">
        <f>IF(H42&gt;0,-H42*H45,0)</f>
        <v>-113287.27500000014</v>
      </c>
      <c r="I46" s="83">
        <f>IF(I42&gt;0,-I42*I45,0)</f>
        <v>-158298.50250000026</v>
      </c>
      <c r="J46" s="87">
        <f>IF(J42&gt;0,-J42*J45,0)</f>
        <v>-187720.89018750025</v>
      </c>
    </row>
    <row r="47" spans="2:10" ht="20" customHeight="1" thickBot="1" x14ac:dyDescent="0.4">
      <c r="B47" s="181" t="s">
        <v>68</v>
      </c>
      <c r="C47" s="108">
        <f t="shared" ref="C47:J47" si="7">C42+C46</f>
        <v>-257000</v>
      </c>
      <c r="D47" s="108">
        <f t="shared" si="7"/>
        <v>-762000</v>
      </c>
      <c r="E47" s="108">
        <f t="shared" si="7"/>
        <v>235000</v>
      </c>
      <c r="F47" s="108">
        <f t="shared" si="7"/>
        <v>176660</v>
      </c>
      <c r="G47" s="108">
        <f t="shared" si="7"/>
        <v>252817.25</v>
      </c>
      <c r="H47" s="108">
        <f t="shared" si="7"/>
        <v>306295.22500000033</v>
      </c>
      <c r="I47" s="108">
        <f t="shared" si="7"/>
        <v>427992.24750000064</v>
      </c>
      <c r="J47" s="111">
        <f t="shared" si="7"/>
        <v>507541.66606250056</v>
      </c>
    </row>
    <row r="48" spans="2:10" ht="20" customHeight="1" thickBot="1" x14ac:dyDescent="0.4">
      <c r="B48" s="182" t="s">
        <v>12</v>
      </c>
      <c r="C48" s="185">
        <f t="shared" ref="C48:J48" si="8">IF(ISERR(C47/C$22),"NA",C47/C$22)</f>
        <v>-9.3454545454545457E-2</v>
      </c>
      <c r="D48" s="185">
        <f t="shared" si="8"/>
        <v>-0.23446153846153847</v>
      </c>
      <c r="E48" s="185">
        <f t="shared" si="8"/>
        <v>5.2222222222222225E-2</v>
      </c>
      <c r="F48" s="185">
        <f t="shared" si="8"/>
        <v>3.4137198067632851E-2</v>
      </c>
      <c r="G48" s="185">
        <f t="shared" si="8"/>
        <v>4.4412340799297324E-2</v>
      </c>
      <c r="H48" s="185">
        <f t="shared" si="8"/>
        <v>4.8915275282469001E-2</v>
      </c>
      <c r="I48" s="185">
        <f t="shared" si="8"/>
        <v>6.2136601008286316E-2</v>
      </c>
      <c r="J48" s="186">
        <f t="shared" si="8"/>
        <v>6.8544849484238196E-2</v>
      </c>
    </row>
    <row r="49" spans="2:10" x14ac:dyDescent="0.35">
      <c r="B49" s="32"/>
      <c r="C49" s="32"/>
      <c r="D49" s="32"/>
      <c r="E49" s="32"/>
      <c r="F49" s="40"/>
      <c r="G49" s="40"/>
      <c r="H49" s="40"/>
      <c r="I49" s="40"/>
      <c r="J49" s="40"/>
    </row>
    <row r="50" spans="2:10" s="20" customFormat="1" ht="25" customHeight="1" x14ac:dyDescent="0.35">
      <c r="B50" s="20" t="s">
        <v>30</v>
      </c>
      <c r="F50" s="24"/>
      <c r="G50" s="24"/>
      <c r="H50" s="24"/>
      <c r="I50" s="24"/>
      <c r="J50" s="24"/>
    </row>
    <row r="51" spans="2:10" s="72" customFormat="1" ht="20" customHeight="1" x14ac:dyDescent="0.35">
      <c r="B51" s="69"/>
      <c r="C51" s="73">
        <f>D51-1</f>
        <v>2022</v>
      </c>
      <c r="D51" s="73">
        <f>E51-1</f>
        <v>2023</v>
      </c>
      <c r="E51" s="73">
        <f t="shared" ref="E51:J51" si="9">E$21</f>
        <v>2024</v>
      </c>
      <c r="F51" s="74">
        <f t="shared" si="9"/>
        <v>2025</v>
      </c>
      <c r="G51" s="74">
        <f t="shared" si="9"/>
        <v>2026</v>
      </c>
      <c r="H51" s="74">
        <f t="shared" si="9"/>
        <v>2027</v>
      </c>
      <c r="I51" s="74">
        <f t="shared" si="9"/>
        <v>2028</v>
      </c>
      <c r="J51" s="74">
        <f t="shared" si="9"/>
        <v>2029</v>
      </c>
    </row>
    <row r="52" spans="2:10" ht="20" customHeight="1" x14ac:dyDescent="0.35">
      <c r="B52" s="60" t="s">
        <v>6</v>
      </c>
      <c r="C52" s="195">
        <v>560000</v>
      </c>
      <c r="D52" s="200">
        <f>D88</f>
        <v>-544000</v>
      </c>
      <c r="E52" s="200">
        <f t="shared" ref="E52:J52" si="10">E88</f>
        <v>-1864000</v>
      </c>
      <c r="F52" s="200">
        <f t="shared" si="10"/>
        <v>-2418922.1917808219</v>
      </c>
      <c r="G52" s="200">
        <f t="shared" si="10"/>
        <v>-3428763.1609589038</v>
      </c>
      <c r="H52" s="200">
        <f t="shared" si="10"/>
        <v>-4323391.9770547943</v>
      </c>
      <c r="I52" s="200">
        <f t="shared" si="10"/>
        <v>-5034166.1747602737</v>
      </c>
      <c r="J52" s="202">
        <f t="shared" si="10"/>
        <v>-4909138.0759922937</v>
      </c>
    </row>
    <row r="53" spans="2:10" ht="20" customHeight="1" x14ac:dyDescent="0.35">
      <c r="B53" s="60" t="s">
        <v>79</v>
      </c>
      <c r="C53" s="195">
        <v>825000</v>
      </c>
      <c r="D53" s="195">
        <v>750000</v>
      </c>
      <c r="E53" s="195">
        <v>800000</v>
      </c>
      <c r="F53" s="200">
        <f>'DCF Valuation Model - EXAMPLE'!$D16/365*'DCF Valuation Model - EXAMPLE'!F22</f>
        <v>567123.28767123283</v>
      </c>
      <c r="G53" s="200">
        <f>'DCF Valuation Model - EXAMPLE'!$D$16/365*'DCF Valuation Model - EXAMPLE'!G22</f>
        <v>623835.61643835611</v>
      </c>
      <c r="H53" s="200">
        <f>'DCF Valuation Model - EXAMPLE'!$D$16/365*'DCF Valuation Model - EXAMPLE'!H22</f>
        <v>686219.17808219185</v>
      </c>
      <c r="I53" s="200">
        <f>'DCF Valuation Model - EXAMPLE'!$D$16/365*'DCF Valuation Model - EXAMPLE'!I22</f>
        <v>754841.09589041118</v>
      </c>
      <c r="J53" s="202">
        <f>'DCF Valuation Model - EXAMPLE'!$D$16/365*'DCF Valuation Model - EXAMPLE'!J22</f>
        <v>811454.17808219197</v>
      </c>
    </row>
    <row r="54" spans="2:10" ht="20" customHeight="1" x14ac:dyDescent="0.35">
      <c r="B54" s="60" t="s">
        <v>80</v>
      </c>
      <c r="C54" s="195">
        <v>770000</v>
      </c>
      <c r="D54" s="195">
        <v>800000</v>
      </c>
      <c r="E54" s="195">
        <v>850000</v>
      </c>
      <c r="F54" s="200">
        <f>-'DCF Valuation Model - EXAMPLE'!$D17/365*'DCF Valuation Model - EXAMPLE'!F25</f>
        <v>518917.80821917806</v>
      </c>
      <c r="G54" s="200">
        <f>-'DCF Valuation Model - EXAMPLE'!$D17/365*'DCF Valuation Model - EXAMPLE'!G25</f>
        <v>570809.58904109581</v>
      </c>
      <c r="H54" s="200">
        <f>-'DCF Valuation Model - EXAMPLE'!$D17/365*'DCF Valuation Model - EXAMPLE'!H25</f>
        <v>627890.54794520547</v>
      </c>
      <c r="I54" s="200">
        <f>-'DCF Valuation Model - EXAMPLE'!$D17/365*'DCF Valuation Model - EXAMPLE'!I25</f>
        <v>690679.60273972619</v>
      </c>
      <c r="J54" s="202">
        <f>-'DCF Valuation Model - EXAMPLE'!$D17/365*'DCF Valuation Model - EXAMPLE'!J25</f>
        <v>742480.57294520573</v>
      </c>
    </row>
    <row r="55" spans="2:10" ht="20" customHeight="1" x14ac:dyDescent="0.35">
      <c r="B55" s="60" t="s">
        <v>81</v>
      </c>
      <c r="C55" s="195">
        <v>985000</v>
      </c>
      <c r="D55" s="195">
        <v>1750000</v>
      </c>
      <c r="E55" s="195">
        <v>2500000</v>
      </c>
      <c r="F55" s="200">
        <f>F110</f>
        <v>3275000</v>
      </c>
      <c r="G55" s="200">
        <f>G110</f>
        <v>4005000</v>
      </c>
      <c r="H55" s="200">
        <f>H110</f>
        <v>4715000</v>
      </c>
      <c r="I55" s="200">
        <f>I110</f>
        <v>5403750</v>
      </c>
      <c r="J55" s="202">
        <f>J110</f>
        <v>5403750</v>
      </c>
    </row>
    <row r="56" spans="2:10" ht="20" customHeight="1" thickBot="1" x14ac:dyDescent="0.4">
      <c r="B56" s="207" t="s">
        <v>82</v>
      </c>
      <c r="C56" s="208">
        <f t="shared" ref="C56:J56" si="11">SUM(C52:C55)</f>
        <v>3140000</v>
      </c>
      <c r="D56" s="208">
        <f t="shared" si="11"/>
        <v>2756000</v>
      </c>
      <c r="E56" s="208">
        <f t="shared" si="11"/>
        <v>2286000</v>
      </c>
      <c r="F56" s="208">
        <f t="shared" si="11"/>
        <v>1942118.9041095891</v>
      </c>
      <c r="G56" s="208">
        <f t="shared" si="11"/>
        <v>1770882.0445205481</v>
      </c>
      <c r="H56" s="208">
        <f t="shared" si="11"/>
        <v>1705717.7489726031</v>
      </c>
      <c r="I56" s="208">
        <f t="shared" si="11"/>
        <v>1815104.5238698637</v>
      </c>
      <c r="J56" s="209">
        <f t="shared" si="11"/>
        <v>2048546.6750351042</v>
      </c>
    </row>
    <row r="57" spans="2:10" ht="20" customHeight="1" x14ac:dyDescent="0.35">
      <c r="B57" s="158"/>
      <c r="C57" s="41"/>
      <c r="D57" s="41"/>
      <c r="E57" s="41"/>
      <c r="F57" s="41"/>
      <c r="G57" s="41"/>
      <c r="H57" s="41"/>
      <c r="I57" s="41"/>
      <c r="J57" s="41"/>
    </row>
    <row r="58" spans="2:10" ht="20" customHeight="1" x14ac:dyDescent="0.35">
      <c r="B58" s="60" t="s">
        <v>83</v>
      </c>
      <c r="C58" s="195">
        <v>187000</v>
      </c>
      <c r="D58" s="195">
        <v>285000</v>
      </c>
      <c r="E58" s="195">
        <v>330000</v>
      </c>
      <c r="F58" s="200">
        <f>-'DCF Valuation Model - EXAMPLE'!$D18/365*'DCF Valuation Model - EXAMPLE'!F25</f>
        <v>259458.90410958903</v>
      </c>
      <c r="G58" s="200">
        <f>-'DCF Valuation Model - EXAMPLE'!$D18/365*'DCF Valuation Model - EXAMPLE'!G25</f>
        <v>285404.7945205479</v>
      </c>
      <c r="H58" s="200">
        <f>-'DCF Valuation Model - EXAMPLE'!$D18/365*'DCF Valuation Model - EXAMPLE'!H25</f>
        <v>313945.27397260274</v>
      </c>
      <c r="I58" s="200">
        <f>-'DCF Valuation Model - EXAMPLE'!$D18/365*'DCF Valuation Model - EXAMPLE'!I25</f>
        <v>345339.8013698631</v>
      </c>
      <c r="J58" s="202">
        <f>-'DCF Valuation Model - EXAMPLE'!$D18/365*'DCF Valuation Model - EXAMPLE'!J25</f>
        <v>371240.28647260286</v>
      </c>
    </row>
    <row r="59" spans="2:10" ht="20" customHeight="1" x14ac:dyDescent="0.35">
      <c r="B59" s="60" t="s">
        <v>51</v>
      </c>
      <c r="C59" s="195">
        <v>2720000</v>
      </c>
      <c r="D59" s="195">
        <v>3000000</v>
      </c>
      <c r="E59" s="195">
        <v>2250000</v>
      </c>
      <c r="F59" s="195">
        <v>1800000</v>
      </c>
      <c r="G59" s="201">
        <f>F59+G79</f>
        <v>1350000</v>
      </c>
      <c r="H59" s="201">
        <f>G59+H79</f>
        <v>950000</v>
      </c>
      <c r="I59" s="201">
        <f>H59+I79</f>
        <v>600000</v>
      </c>
      <c r="J59" s="203">
        <f>I59+J79</f>
        <v>300000</v>
      </c>
    </row>
    <row r="60" spans="2:10" ht="20" customHeight="1" x14ac:dyDescent="0.35">
      <c r="B60" s="60" t="s">
        <v>84</v>
      </c>
      <c r="C60" s="199">
        <f>C56-SUM(C58:C59)</f>
        <v>233000</v>
      </c>
      <c r="D60" s="199">
        <f>D56-SUM(D58:D59)</f>
        <v>-529000</v>
      </c>
      <c r="E60" s="199">
        <f>E56-SUM(E58:E59)</f>
        <v>-294000</v>
      </c>
      <c r="F60" s="199">
        <f>E60+F47+F81+F82</f>
        <v>-117340</v>
      </c>
      <c r="G60" s="199">
        <f>F60+G47+G81+G82</f>
        <v>135477.25</v>
      </c>
      <c r="H60" s="199">
        <f>G60+H47+H81+H82</f>
        <v>441772.47500000033</v>
      </c>
      <c r="I60" s="199">
        <f>H60+I47+I81+I82</f>
        <v>869764.72250000096</v>
      </c>
      <c r="J60" s="204">
        <f>I60+J47+J81+J82</f>
        <v>1377306.3885625014</v>
      </c>
    </row>
    <row r="61" spans="2:10" ht="20" customHeight="1" thickBot="1" x14ac:dyDescent="0.4">
      <c r="B61" s="207" t="s">
        <v>85</v>
      </c>
      <c r="C61" s="205">
        <f t="shared" ref="C61:J61" si="12">SUM(C58:C60)</f>
        <v>3140000</v>
      </c>
      <c r="D61" s="205">
        <f t="shared" si="12"/>
        <v>2756000</v>
      </c>
      <c r="E61" s="205">
        <f t="shared" si="12"/>
        <v>2286000</v>
      </c>
      <c r="F61" s="205">
        <f t="shared" si="12"/>
        <v>1942118.9041095891</v>
      </c>
      <c r="G61" s="205">
        <f t="shared" si="12"/>
        <v>1770882.0445205478</v>
      </c>
      <c r="H61" s="205">
        <f t="shared" si="12"/>
        <v>1705717.7489726031</v>
      </c>
      <c r="I61" s="205">
        <f t="shared" si="12"/>
        <v>1815104.5238698642</v>
      </c>
      <c r="J61" s="206">
        <f t="shared" si="12"/>
        <v>2048546.6750351042</v>
      </c>
    </row>
    <row r="62" spans="2:10" x14ac:dyDescent="0.35">
      <c r="B62" s="9"/>
      <c r="C62" s="9"/>
      <c r="D62" s="9"/>
      <c r="E62" s="9"/>
      <c r="F62" s="9"/>
      <c r="G62" s="9"/>
      <c r="H62" s="9"/>
      <c r="I62" s="9"/>
      <c r="J62" s="9"/>
    </row>
    <row r="63" spans="2:10" s="20" customFormat="1" ht="25" customHeight="1" x14ac:dyDescent="0.35">
      <c r="B63" s="20" t="s">
        <v>27</v>
      </c>
    </row>
    <row r="64" spans="2:10" s="72" customFormat="1" ht="20" customHeight="1" x14ac:dyDescent="0.35">
      <c r="B64" s="75"/>
      <c r="C64" s="76">
        <f>D64-1</f>
        <v>2022</v>
      </c>
      <c r="D64" s="76">
        <f>E64-1</f>
        <v>2023</v>
      </c>
      <c r="E64" s="76">
        <f t="shared" ref="E64:J64" si="13">E$21</f>
        <v>2024</v>
      </c>
      <c r="F64" s="77">
        <f t="shared" si="13"/>
        <v>2025</v>
      </c>
      <c r="G64" s="77">
        <f t="shared" si="13"/>
        <v>2026</v>
      </c>
      <c r="H64" s="77">
        <f t="shared" si="13"/>
        <v>2027</v>
      </c>
      <c r="I64" s="77">
        <f t="shared" si="13"/>
        <v>2028</v>
      </c>
      <c r="J64" s="77">
        <f t="shared" si="13"/>
        <v>2029</v>
      </c>
    </row>
    <row r="65" spans="2:10" ht="20" customHeight="1" x14ac:dyDescent="0.35">
      <c r="B65" s="211" t="s">
        <v>86</v>
      </c>
      <c r="C65" s="38"/>
      <c r="D65" s="38"/>
      <c r="E65" s="27"/>
      <c r="F65" s="27"/>
      <c r="G65" s="27"/>
      <c r="H65" s="27"/>
      <c r="I65" s="27"/>
      <c r="J65" s="27"/>
    </row>
    <row r="66" spans="2:10" ht="20" customHeight="1" x14ac:dyDescent="0.35">
      <c r="B66" s="42" t="s">
        <v>68</v>
      </c>
      <c r="C66" s="219" t="s">
        <v>58</v>
      </c>
      <c r="D66" s="83">
        <f t="shared" ref="D66:J66" si="14">D47</f>
        <v>-762000</v>
      </c>
      <c r="E66" s="83">
        <f t="shared" si="14"/>
        <v>235000</v>
      </c>
      <c r="F66" s="83">
        <f t="shared" si="14"/>
        <v>176660</v>
      </c>
      <c r="G66" s="83">
        <f t="shared" si="14"/>
        <v>252817.25</v>
      </c>
      <c r="H66" s="83">
        <f t="shared" si="14"/>
        <v>306295.22500000033</v>
      </c>
      <c r="I66" s="83">
        <f t="shared" si="14"/>
        <v>427992.24750000064</v>
      </c>
      <c r="J66" s="87">
        <f t="shared" si="14"/>
        <v>507541.66606250056</v>
      </c>
    </row>
    <row r="67" spans="2:10" ht="20" customHeight="1" x14ac:dyDescent="0.35">
      <c r="B67" s="42" t="s">
        <v>87</v>
      </c>
      <c r="C67" s="219" t="s">
        <v>58</v>
      </c>
      <c r="D67" s="84">
        <f t="shared" ref="D67:J67" si="15">-D40</f>
        <v>52000</v>
      </c>
      <c r="E67" s="84">
        <f t="shared" si="15"/>
        <v>60000</v>
      </c>
      <c r="F67" s="84">
        <f t="shared" si="15"/>
        <v>101250</v>
      </c>
      <c r="G67" s="84">
        <f t="shared" si="15"/>
        <v>78750</v>
      </c>
      <c r="H67" s="84">
        <f t="shared" si="15"/>
        <v>57500</v>
      </c>
      <c r="I67" s="84">
        <f t="shared" si="15"/>
        <v>38750</v>
      </c>
      <c r="J67" s="220">
        <f t="shared" si="15"/>
        <v>22500</v>
      </c>
    </row>
    <row r="68" spans="2:10" ht="20" customHeight="1" x14ac:dyDescent="0.35">
      <c r="B68" s="42" t="s">
        <v>42</v>
      </c>
      <c r="C68" s="219" t="s">
        <v>58</v>
      </c>
      <c r="D68" s="84">
        <f t="shared" ref="D68:J68" si="16">-D36</f>
        <v>175000</v>
      </c>
      <c r="E68" s="84">
        <f t="shared" si="16"/>
        <v>200000</v>
      </c>
      <c r="F68" s="84">
        <f t="shared" si="16"/>
        <v>125000</v>
      </c>
      <c r="G68" s="84">
        <f t="shared" si="16"/>
        <v>170000</v>
      </c>
      <c r="H68" s="84">
        <f t="shared" si="16"/>
        <v>215000</v>
      </c>
      <c r="I68" s="84">
        <f t="shared" si="16"/>
        <v>261250</v>
      </c>
      <c r="J68" s="220">
        <f t="shared" si="16"/>
        <v>320000</v>
      </c>
    </row>
    <row r="69" spans="2:10" ht="20" customHeight="1" x14ac:dyDescent="0.35">
      <c r="B69" s="42" t="s">
        <v>88</v>
      </c>
      <c r="C69" s="219" t="s">
        <v>58</v>
      </c>
      <c r="D69" s="83">
        <f t="shared" ref="D69:J70" si="17">C53-D53</f>
        <v>75000</v>
      </c>
      <c r="E69" s="83">
        <f t="shared" si="17"/>
        <v>-50000</v>
      </c>
      <c r="F69" s="83">
        <f t="shared" si="17"/>
        <v>232876.71232876717</v>
      </c>
      <c r="G69" s="83">
        <f t="shared" si="17"/>
        <v>-56712.328767123283</v>
      </c>
      <c r="H69" s="83">
        <f t="shared" si="17"/>
        <v>-62383.561643835739</v>
      </c>
      <c r="I69" s="83">
        <f t="shared" si="17"/>
        <v>-68621.917808219325</v>
      </c>
      <c r="J69" s="87">
        <f t="shared" si="17"/>
        <v>-56613.082191780792</v>
      </c>
    </row>
    <row r="70" spans="2:10" ht="20" customHeight="1" x14ac:dyDescent="0.35">
      <c r="B70" s="42" t="s">
        <v>89</v>
      </c>
      <c r="C70" s="219" t="s">
        <v>58</v>
      </c>
      <c r="D70" s="83">
        <f t="shared" si="17"/>
        <v>-30000</v>
      </c>
      <c r="E70" s="83">
        <f t="shared" si="17"/>
        <v>-50000</v>
      </c>
      <c r="F70" s="83">
        <f t="shared" si="17"/>
        <v>331082.19178082194</v>
      </c>
      <c r="G70" s="83">
        <f t="shared" si="17"/>
        <v>-51891.780821917753</v>
      </c>
      <c r="H70" s="83">
        <f t="shared" si="17"/>
        <v>-57080.958904109662</v>
      </c>
      <c r="I70" s="83">
        <f t="shared" si="17"/>
        <v>-62789.054794520722</v>
      </c>
      <c r="J70" s="87">
        <f t="shared" si="17"/>
        <v>-51800.970205479534</v>
      </c>
    </row>
    <row r="71" spans="2:10" ht="20" customHeight="1" x14ac:dyDescent="0.35">
      <c r="B71" s="42" t="s">
        <v>90</v>
      </c>
      <c r="C71" s="219" t="s">
        <v>58</v>
      </c>
      <c r="D71" s="83">
        <f t="shared" ref="D71:J71" si="18">D58-C58</f>
        <v>98000</v>
      </c>
      <c r="E71" s="83">
        <f t="shared" si="18"/>
        <v>45000</v>
      </c>
      <c r="F71" s="83">
        <f t="shared" si="18"/>
        <v>-70541.095890410972</v>
      </c>
      <c r="G71" s="83">
        <f t="shared" si="18"/>
        <v>25945.890410958877</v>
      </c>
      <c r="H71" s="83">
        <f t="shared" si="18"/>
        <v>28540.479452054831</v>
      </c>
      <c r="I71" s="83">
        <f t="shared" si="18"/>
        <v>31394.527397260361</v>
      </c>
      <c r="J71" s="87">
        <f t="shared" si="18"/>
        <v>25900.485102739767</v>
      </c>
    </row>
    <row r="72" spans="2:10" ht="20" customHeight="1" thickBot="1" x14ac:dyDescent="0.4">
      <c r="B72" s="212" t="s">
        <v>91</v>
      </c>
      <c r="C72" s="221" t="s">
        <v>58</v>
      </c>
      <c r="D72" s="108">
        <f t="shared" ref="D72:J72" si="19">SUM(D66:D71)</f>
        <v>-392000</v>
      </c>
      <c r="E72" s="108">
        <f t="shared" si="19"/>
        <v>440000</v>
      </c>
      <c r="F72" s="108">
        <f t="shared" si="19"/>
        <v>896327.80821917811</v>
      </c>
      <c r="G72" s="108">
        <f t="shared" si="19"/>
        <v>418909.03082191781</v>
      </c>
      <c r="H72" s="108">
        <f t="shared" si="19"/>
        <v>487871.18390410976</v>
      </c>
      <c r="I72" s="108">
        <f t="shared" si="19"/>
        <v>627975.80229452089</v>
      </c>
      <c r="J72" s="111">
        <f t="shared" si="19"/>
        <v>767528.09876798</v>
      </c>
    </row>
    <row r="73" spans="2:10" ht="20" customHeight="1" x14ac:dyDescent="0.35">
      <c r="B73" s="158" t="s">
        <v>46</v>
      </c>
      <c r="C73" s="27"/>
      <c r="D73" s="27"/>
      <c r="E73" s="27"/>
      <c r="F73" s="27"/>
      <c r="G73" s="27"/>
      <c r="H73" s="27"/>
      <c r="I73" s="27"/>
      <c r="J73" s="27"/>
    </row>
    <row r="74" spans="2:10" ht="20" customHeight="1" x14ac:dyDescent="0.35">
      <c r="B74" s="211" t="s">
        <v>92</v>
      </c>
      <c r="C74" s="76">
        <f>D74-1</f>
        <v>2022</v>
      </c>
      <c r="D74" s="76">
        <f>E74-1</f>
        <v>2023</v>
      </c>
      <c r="E74" s="76">
        <f t="shared" ref="E74:J74" si="20">E$21</f>
        <v>2024</v>
      </c>
      <c r="F74" s="77">
        <f t="shared" si="20"/>
        <v>2025</v>
      </c>
      <c r="G74" s="77">
        <f t="shared" si="20"/>
        <v>2026</v>
      </c>
      <c r="H74" s="77">
        <f t="shared" si="20"/>
        <v>2027</v>
      </c>
      <c r="I74" s="77">
        <f t="shared" si="20"/>
        <v>2028</v>
      </c>
      <c r="J74" s="77">
        <f t="shared" si="20"/>
        <v>2029</v>
      </c>
    </row>
    <row r="75" spans="2:10" ht="20" customHeight="1" x14ac:dyDescent="0.35">
      <c r="B75" s="42" t="s">
        <v>7</v>
      </c>
      <c r="C75" s="82"/>
      <c r="D75" s="83">
        <f t="shared" ref="D75:J75" si="21">-D92</f>
        <v>-940000</v>
      </c>
      <c r="E75" s="83">
        <f t="shared" si="21"/>
        <v>-950000</v>
      </c>
      <c r="F75" s="83">
        <f t="shared" si="21"/>
        <v>-900000</v>
      </c>
      <c r="G75" s="83">
        <f t="shared" si="21"/>
        <v>-900000</v>
      </c>
      <c r="H75" s="83">
        <f t="shared" si="21"/>
        <v>-925000</v>
      </c>
      <c r="I75" s="83">
        <f t="shared" si="21"/>
        <v>-950000</v>
      </c>
      <c r="J75" s="87">
        <f t="shared" si="21"/>
        <v>-320000</v>
      </c>
    </row>
    <row r="76" spans="2:10" ht="20" customHeight="1" thickBot="1" x14ac:dyDescent="0.4">
      <c r="B76" s="212" t="s">
        <v>93</v>
      </c>
      <c r="C76" s="213"/>
      <c r="D76" s="108">
        <f t="shared" ref="D76:J76" si="22">SUM(D75:D75)</f>
        <v>-940000</v>
      </c>
      <c r="E76" s="108">
        <f t="shared" si="22"/>
        <v>-950000</v>
      </c>
      <c r="F76" s="108">
        <f t="shared" si="22"/>
        <v>-900000</v>
      </c>
      <c r="G76" s="108">
        <f t="shared" si="22"/>
        <v>-900000</v>
      </c>
      <c r="H76" s="108">
        <f t="shared" si="22"/>
        <v>-925000</v>
      </c>
      <c r="I76" s="108">
        <f t="shared" si="22"/>
        <v>-950000</v>
      </c>
      <c r="J76" s="111">
        <f t="shared" si="22"/>
        <v>-320000</v>
      </c>
    </row>
    <row r="77" spans="2:10" ht="20" customHeight="1" x14ac:dyDescent="0.35">
      <c r="B77" s="158" t="s">
        <v>46</v>
      </c>
      <c r="C77" s="27"/>
      <c r="D77" s="27"/>
      <c r="E77" s="27"/>
      <c r="F77" s="27"/>
      <c r="G77" s="27"/>
      <c r="H77" s="27"/>
      <c r="I77" s="27"/>
      <c r="J77" s="27"/>
    </row>
    <row r="78" spans="2:10" ht="20" customHeight="1" x14ac:dyDescent="0.35">
      <c r="B78" s="211" t="s">
        <v>94</v>
      </c>
      <c r="C78" s="76">
        <f>D78-1</f>
        <v>2022</v>
      </c>
      <c r="D78" s="76">
        <f>E78-1</f>
        <v>2023</v>
      </c>
      <c r="E78" s="76">
        <f t="shared" ref="E78:J78" si="23">E$21</f>
        <v>2024</v>
      </c>
      <c r="F78" s="77">
        <f t="shared" si="23"/>
        <v>2025</v>
      </c>
      <c r="G78" s="77">
        <f t="shared" si="23"/>
        <v>2026</v>
      </c>
      <c r="H78" s="77">
        <f t="shared" si="23"/>
        <v>2027</v>
      </c>
      <c r="I78" s="77">
        <f t="shared" si="23"/>
        <v>2028</v>
      </c>
      <c r="J78" s="77">
        <f t="shared" si="23"/>
        <v>2029</v>
      </c>
    </row>
    <row r="79" spans="2:10" ht="20" customHeight="1" x14ac:dyDescent="0.35">
      <c r="B79" s="42" t="s">
        <v>95</v>
      </c>
      <c r="C79" s="214"/>
      <c r="D79" s="92">
        <f>'DCF Valuation Model - EXAMPLE'!D59-C59</f>
        <v>280000</v>
      </c>
      <c r="E79" s="92">
        <f>'DCF Valuation Model - EXAMPLE'!E59-D59</f>
        <v>-750000</v>
      </c>
      <c r="F79" s="92">
        <f>'DCF Valuation Model - EXAMPLE'!F59-E59</f>
        <v>-450000</v>
      </c>
      <c r="G79" s="195">
        <v>-450000</v>
      </c>
      <c r="H79" s="195">
        <v>-400000</v>
      </c>
      <c r="I79" s="195">
        <v>-350000</v>
      </c>
      <c r="J79" s="196">
        <v>-300000</v>
      </c>
    </row>
    <row r="80" spans="2:10" ht="20" customHeight="1" x14ac:dyDescent="0.35">
      <c r="B80" s="42" t="s">
        <v>96</v>
      </c>
      <c r="C80" s="214"/>
      <c r="D80" s="215">
        <f t="shared" ref="D80:J80" si="24">-D67</f>
        <v>-52000</v>
      </c>
      <c r="E80" s="215">
        <f t="shared" si="24"/>
        <v>-60000</v>
      </c>
      <c r="F80" s="215">
        <f t="shared" si="24"/>
        <v>-101250</v>
      </c>
      <c r="G80" s="215">
        <f t="shared" si="24"/>
        <v>-78750</v>
      </c>
      <c r="H80" s="215">
        <f t="shared" si="24"/>
        <v>-57500</v>
      </c>
      <c r="I80" s="215">
        <f t="shared" si="24"/>
        <v>-38750</v>
      </c>
      <c r="J80" s="216">
        <f t="shared" si="24"/>
        <v>-22500</v>
      </c>
    </row>
    <row r="81" spans="1:10" ht="20" customHeight="1" x14ac:dyDescent="0.35">
      <c r="B81" s="42" t="s">
        <v>97</v>
      </c>
      <c r="C81" s="183"/>
      <c r="D81" s="195">
        <v>0</v>
      </c>
      <c r="E81" s="195">
        <v>0</v>
      </c>
      <c r="F81" s="195">
        <v>0</v>
      </c>
      <c r="G81" s="195">
        <v>0</v>
      </c>
      <c r="H81" s="195">
        <v>0</v>
      </c>
      <c r="I81" s="195">
        <v>0</v>
      </c>
      <c r="J81" s="196">
        <v>0</v>
      </c>
    </row>
    <row r="82" spans="1:10" ht="20" customHeight="1" x14ac:dyDescent="0.35">
      <c r="B82" s="42" t="s">
        <v>98</v>
      </c>
      <c r="C82" s="183"/>
      <c r="D82" s="195">
        <v>0</v>
      </c>
      <c r="E82" s="195">
        <v>0</v>
      </c>
      <c r="F82" s="195">
        <v>0</v>
      </c>
      <c r="G82" s="195">
        <v>0</v>
      </c>
      <c r="H82" s="195">
        <v>0</v>
      </c>
      <c r="I82" s="195">
        <v>0</v>
      </c>
      <c r="J82" s="196">
        <v>0</v>
      </c>
    </row>
    <row r="83" spans="1:10" ht="20" customHeight="1" thickBot="1" x14ac:dyDescent="0.4">
      <c r="B83" s="212" t="s">
        <v>93</v>
      </c>
      <c r="C83" s="213"/>
      <c r="D83" s="217">
        <f t="shared" ref="D83:J83" si="25">SUM(D79:D82)</f>
        <v>228000</v>
      </c>
      <c r="E83" s="217">
        <f t="shared" si="25"/>
        <v>-810000</v>
      </c>
      <c r="F83" s="217">
        <f t="shared" si="25"/>
        <v>-551250</v>
      </c>
      <c r="G83" s="217">
        <f t="shared" si="25"/>
        <v>-528750</v>
      </c>
      <c r="H83" s="217">
        <f t="shared" si="25"/>
        <v>-457500</v>
      </c>
      <c r="I83" s="217">
        <f t="shared" si="25"/>
        <v>-388750</v>
      </c>
      <c r="J83" s="218">
        <f t="shared" si="25"/>
        <v>-322500</v>
      </c>
    </row>
    <row r="84" spans="1:10" ht="20" customHeight="1" x14ac:dyDescent="0.35">
      <c r="B84" s="158" t="s">
        <v>46</v>
      </c>
      <c r="C84" s="76">
        <f>D84-1</f>
        <v>2022</v>
      </c>
      <c r="D84" s="76">
        <f>E84-1</f>
        <v>2023</v>
      </c>
      <c r="E84" s="76">
        <f t="shared" ref="E84:J84" si="26">E$21</f>
        <v>2024</v>
      </c>
      <c r="F84" s="77">
        <f t="shared" si="26"/>
        <v>2025</v>
      </c>
      <c r="G84" s="77">
        <f t="shared" si="26"/>
        <v>2026</v>
      </c>
      <c r="H84" s="77">
        <f t="shared" si="26"/>
        <v>2027</v>
      </c>
      <c r="I84" s="77">
        <f t="shared" si="26"/>
        <v>2028</v>
      </c>
      <c r="J84" s="77">
        <f t="shared" si="26"/>
        <v>2029</v>
      </c>
    </row>
    <row r="85" spans="1:10" ht="20" customHeight="1" thickBot="1" x14ac:dyDescent="0.4">
      <c r="B85" s="13" t="s">
        <v>99</v>
      </c>
      <c r="C85" s="95"/>
      <c r="D85" s="97">
        <f t="shared" ref="D85:J85" si="27">D72+D76+D83</f>
        <v>-1104000</v>
      </c>
      <c r="E85" s="97">
        <f t="shared" si="27"/>
        <v>-1320000</v>
      </c>
      <c r="F85" s="97">
        <f t="shared" si="27"/>
        <v>-554922.19178082189</v>
      </c>
      <c r="G85" s="97">
        <f t="shared" si="27"/>
        <v>-1009840.9691780822</v>
      </c>
      <c r="H85" s="97">
        <f t="shared" si="27"/>
        <v>-894628.81609589024</v>
      </c>
      <c r="I85" s="97">
        <f t="shared" si="27"/>
        <v>-710774.19770547911</v>
      </c>
      <c r="J85" s="109">
        <f t="shared" si="27"/>
        <v>125028.09876798</v>
      </c>
    </row>
    <row r="86" spans="1:10" ht="20" customHeight="1" x14ac:dyDescent="0.35">
      <c r="B86" s="210" t="s">
        <v>46</v>
      </c>
      <c r="C86" s="76">
        <f>D86-1</f>
        <v>2022</v>
      </c>
      <c r="D86" s="76">
        <f>E86-1</f>
        <v>2023</v>
      </c>
      <c r="E86" s="76">
        <f t="shared" ref="E86:J86" si="28">E$21</f>
        <v>2024</v>
      </c>
      <c r="F86" s="77">
        <f t="shared" si="28"/>
        <v>2025</v>
      </c>
      <c r="G86" s="77">
        <f t="shared" si="28"/>
        <v>2026</v>
      </c>
      <c r="H86" s="77">
        <f t="shared" si="28"/>
        <v>2027</v>
      </c>
      <c r="I86" s="77">
        <f t="shared" si="28"/>
        <v>2028</v>
      </c>
      <c r="J86" s="77">
        <f t="shared" si="28"/>
        <v>2029</v>
      </c>
    </row>
    <row r="87" spans="1:10" ht="20" customHeight="1" x14ac:dyDescent="0.35">
      <c r="B87" s="42" t="s">
        <v>100</v>
      </c>
      <c r="C87" s="82"/>
      <c r="D87" s="83">
        <f>C52</f>
        <v>560000</v>
      </c>
      <c r="E87" s="83">
        <f t="shared" ref="E87:J87" si="29">D88</f>
        <v>-544000</v>
      </c>
      <c r="F87" s="83">
        <f t="shared" si="29"/>
        <v>-1864000</v>
      </c>
      <c r="G87" s="83">
        <f t="shared" si="29"/>
        <v>-2418922.1917808219</v>
      </c>
      <c r="H87" s="83">
        <f t="shared" si="29"/>
        <v>-3428763.1609589038</v>
      </c>
      <c r="I87" s="83">
        <f t="shared" si="29"/>
        <v>-4323391.9770547943</v>
      </c>
      <c r="J87" s="87">
        <f t="shared" si="29"/>
        <v>-5034166.1747602737</v>
      </c>
    </row>
    <row r="88" spans="1:10" ht="20" customHeight="1" thickBot="1" x14ac:dyDescent="0.4">
      <c r="B88" s="212" t="s">
        <v>101</v>
      </c>
      <c r="C88" s="213"/>
      <c r="D88" s="108">
        <f t="shared" ref="D88:J88" si="30">D85+D87</f>
        <v>-544000</v>
      </c>
      <c r="E88" s="108">
        <f t="shared" si="30"/>
        <v>-1864000</v>
      </c>
      <c r="F88" s="108">
        <f t="shared" si="30"/>
        <v>-2418922.1917808219</v>
      </c>
      <c r="G88" s="108">
        <f t="shared" si="30"/>
        <v>-3428763.1609589038</v>
      </c>
      <c r="H88" s="108">
        <f t="shared" si="30"/>
        <v>-4323391.9770547943</v>
      </c>
      <c r="I88" s="108">
        <f t="shared" si="30"/>
        <v>-5034166.1747602737</v>
      </c>
      <c r="J88" s="111">
        <f t="shared" si="30"/>
        <v>-4909138.0759922937</v>
      </c>
    </row>
    <row r="90" spans="1:10" s="20" customFormat="1" ht="25" customHeight="1" x14ac:dyDescent="0.35">
      <c r="B90" s="26" t="s">
        <v>29</v>
      </c>
      <c r="C90" s="26"/>
      <c r="D90" s="26"/>
      <c r="E90" s="26"/>
      <c r="F90" s="26"/>
      <c r="G90" s="26"/>
      <c r="H90" s="26"/>
      <c r="I90" s="26"/>
      <c r="J90" s="26"/>
    </row>
    <row r="91" spans="1:10" s="72" customFormat="1" ht="20" customHeight="1" x14ac:dyDescent="0.35">
      <c r="B91" s="78"/>
      <c r="C91" s="73">
        <f>D91-1</f>
        <v>2022</v>
      </c>
      <c r="D91" s="73">
        <f>E91-1</f>
        <v>2023</v>
      </c>
      <c r="E91" s="73">
        <f t="shared" ref="E91:J91" si="31">E$21</f>
        <v>2024</v>
      </c>
      <c r="F91" s="74">
        <f t="shared" si="31"/>
        <v>2025</v>
      </c>
      <c r="G91" s="74">
        <f t="shared" si="31"/>
        <v>2026</v>
      </c>
      <c r="H91" s="74">
        <f t="shared" si="31"/>
        <v>2027</v>
      </c>
      <c r="I91" s="74">
        <f t="shared" si="31"/>
        <v>2028</v>
      </c>
      <c r="J91" s="74">
        <f t="shared" si="31"/>
        <v>2029</v>
      </c>
    </row>
    <row r="92" spans="1:10" s="37" customFormat="1" ht="20" customHeight="1" thickBot="1" x14ac:dyDescent="0.4">
      <c r="A92" s="45"/>
      <c r="B92" s="151" t="s">
        <v>26</v>
      </c>
      <c r="C92" s="152" t="s">
        <v>58</v>
      </c>
      <c r="D92" s="153">
        <f>D55-D36-C55</f>
        <v>940000</v>
      </c>
      <c r="E92" s="153">
        <f>E55-E36-D55</f>
        <v>950000</v>
      </c>
      <c r="F92" s="154">
        <v>900000</v>
      </c>
      <c r="G92" s="154">
        <v>900000</v>
      </c>
      <c r="H92" s="154">
        <v>925000</v>
      </c>
      <c r="I92" s="154">
        <v>950000</v>
      </c>
      <c r="J92" s="236">
        <f>J106</f>
        <v>320000</v>
      </c>
    </row>
    <row r="93" spans="1:10" s="37" customFormat="1" ht="20" customHeight="1" x14ac:dyDescent="0.35">
      <c r="A93" s="45"/>
      <c r="B93" s="79"/>
      <c r="C93" s="27"/>
      <c r="D93" s="27"/>
      <c r="E93" s="28"/>
      <c r="F93" s="28"/>
      <c r="G93" s="27"/>
      <c r="H93" s="27"/>
      <c r="I93" s="27"/>
      <c r="J93" s="27"/>
    </row>
    <row r="94" spans="1:10" s="37" customFormat="1" ht="20" customHeight="1" thickBot="1" x14ac:dyDescent="0.4">
      <c r="A94" s="45"/>
      <c r="B94" s="151" t="s">
        <v>53</v>
      </c>
      <c r="C94" s="103"/>
      <c r="D94" s="103"/>
      <c r="E94" s="155">
        <f>E110+E108</f>
        <v>2500000</v>
      </c>
      <c r="F94" s="155">
        <f>E94+F92</f>
        <v>3400000</v>
      </c>
      <c r="G94" s="97">
        <f>F94+G92</f>
        <v>4300000</v>
      </c>
      <c r="H94" s="97">
        <f>G94+H92</f>
        <v>5225000</v>
      </c>
      <c r="I94" s="97">
        <f>H94+I92</f>
        <v>6175000</v>
      </c>
      <c r="J94" s="109">
        <f>I94+J92</f>
        <v>6495000</v>
      </c>
    </row>
    <row r="95" spans="1:10" s="37" customFormat="1" ht="20" customHeight="1" x14ac:dyDescent="0.35">
      <c r="A95" s="45"/>
      <c r="B95" s="79" t="s">
        <v>46</v>
      </c>
      <c r="C95" s="27"/>
      <c r="D95" s="27"/>
      <c r="E95" s="27"/>
      <c r="F95" s="27"/>
      <c r="G95" s="27"/>
      <c r="H95" s="27"/>
      <c r="I95" s="27"/>
      <c r="J95" s="27"/>
    </row>
    <row r="96" spans="1:10" s="37" customFormat="1" ht="20" customHeight="1" thickBot="1" x14ac:dyDescent="0.4">
      <c r="A96" s="45"/>
      <c r="B96" s="156" t="s">
        <v>54</v>
      </c>
      <c r="C96" s="157">
        <v>20</v>
      </c>
      <c r="D96" s="85" t="s">
        <v>59</v>
      </c>
      <c r="F96" s="27"/>
      <c r="G96" s="27"/>
      <c r="H96" s="27"/>
      <c r="I96" s="27"/>
      <c r="J96" s="27"/>
    </row>
    <row r="97" spans="1:10" s="37" customFormat="1" ht="20" customHeight="1" x14ac:dyDescent="0.35">
      <c r="A97" s="45"/>
      <c r="B97" s="79" t="s">
        <v>46</v>
      </c>
      <c r="C97" s="27"/>
      <c r="D97" s="27"/>
      <c r="E97" s="29"/>
      <c r="F97" s="27"/>
      <c r="G97" s="27"/>
      <c r="H97" s="27"/>
      <c r="I97" s="27"/>
      <c r="J97" s="27"/>
    </row>
    <row r="98" spans="1:10" s="37" customFormat="1" ht="20" customHeight="1" x14ac:dyDescent="0.35">
      <c r="A98" s="45"/>
      <c r="B98" s="79"/>
      <c r="C98" s="86" t="s">
        <v>55</v>
      </c>
      <c r="D98" s="27"/>
      <c r="E98" s="29"/>
      <c r="F98" s="27"/>
      <c r="G98" s="27"/>
      <c r="H98" s="27"/>
      <c r="I98" s="27"/>
      <c r="J98" s="27"/>
    </row>
    <row r="99" spans="1:10" s="72" customFormat="1" ht="20" customHeight="1" x14ac:dyDescent="0.35">
      <c r="B99" s="78"/>
      <c r="C99" s="73">
        <f>D99-1</f>
        <v>2022</v>
      </c>
      <c r="D99" s="73">
        <f>E99-1</f>
        <v>2023</v>
      </c>
      <c r="E99" s="73">
        <f t="shared" ref="E99:J99" si="32">E$21</f>
        <v>2024</v>
      </c>
      <c r="F99" s="74">
        <f t="shared" si="32"/>
        <v>2025</v>
      </c>
      <c r="G99" s="74">
        <f t="shared" si="32"/>
        <v>2026</v>
      </c>
      <c r="H99" s="74">
        <f t="shared" si="32"/>
        <v>2027</v>
      </c>
      <c r="I99" s="74">
        <f t="shared" si="32"/>
        <v>2028</v>
      </c>
      <c r="J99" s="74">
        <f t="shared" si="32"/>
        <v>2029</v>
      </c>
    </row>
    <row r="100" spans="1:10" s="37" customFormat="1" ht="20" customHeight="1" x14ac:dyDescent="0.35">
      <c r="A100" s="45"/>
      <c r="B100" s="2"/>
      <c r="C100" s="88">
        <f>E91</f>
        <v>2024</v>
      </c>
      <c r="D100" s="89">
        <f>E94</f>
        <v>2500000</v>
      </c>
      <c r="E100" s="82"/>
      <c r="F100" s="83">
        <f>$D100/$C$96</f>
        <v>125000</v>
      </c>
      <c r="G100" s="83">
        <f>IF(SUM($F100:F100)+$D100/$C$96&gt;$D100,0,$D100/$C$96)</f>
        <v>125000</v>
      </c>
      <c r="H100" s="83">
        <f>IF(SUM($F100:G100)+$D100/$C$96&gt;$D100,0,$D100/$C$96)</f>
        <v>125000</v>
      </c>
      <c r="I100" s="83">
        <f>IF(SUM($F100:H100)+$D100/$C$96&gt;$D100,0,$D100/$C$96)</f>
        <v>125000</v>
      </c>
      <c r="J100" s="87">
        <f>IF(SUM($F100:I100)+$D100/$C$96&gt;$D100,0,$D100/$C$96)</f>
        <v>125000</v>
      </c>
    </row>
    <row r="101" spans="1:10" s="37" customFormat="1" ht="20" customHeight="1" x14ac:dyDescent="0.35">
      <c r="A101" s="45"/>
      <c r="B101" s="2"/>
      <c r="C101" s="90">
        <f>F91</f>
        <v>2025</v>
      </c>
      <c r="D101" s="89">
        <f>F92</f>
        <v>900000</v>
      </c>
      <c r="E101" s="82"/>
      <c r="F101" s="91"/>
      <c r="G101" s="83">
        <f>$D101/$C$96</f>
        <v>45000</v>
      </c>
      <c r="H101" s="83">
        <f>IF(SUM($F101:G101)+$D101/$C$96&gt;$D101,0,$D101/$C$96)</f>
        <v>45000</v>
      </c>
      <c r="I101" s="83">
        <f>IF(SUM($F101:H101)+$D101/$C$96&gt;$D101,0,$D101/$C$96)</f>
        <v>45000</v>
      </c>
      <c r="J101" s="87">
        <f>IF(SUM($F101:I101)+$D101/$C$96&gt;$D101,0,$D101/$C$96)</f>
        <v>45000</v>
      </c>
    </row>
    <row r="102" spans="1:10" s="37" customFormat="1" ht="20" customHeight="1" x14ac:dyDescent="0.35">
      <c r="A102" s="45"/>
      <c r="B102" s="2"/>
      <c r="C102" s="90">
        <f>C101+1</f>
        <v>2026</v>
      </c>
      <c r="D102" s="89">
        <f>G92</f>
        <v>900000</v>
      </c>
      <c r="E102" s="82"/>
      <c r="F102" s="91"/>
      <c r="G102" s="91"/>
      <c r="H102" s="83">
        <f>$D102/$C$96</f>
        <v>45000</v>
      </c>
      <c r="I102" s="83">
        <f>IF(SUM($F102:H102)+$D102/$C$96&gt;$D102,0,$D102/$C$96)</f>
        <v>45000</v>
      </c>
      <c r="J102" s="87">
        <f>IF(SUM($F102:I102)+$D102/$C$96&gt;$D102,0,$D102/$C$96)</f>
        <v>45000</v>
      </c>
    </row>
    <row r="103" spans="1:10" s="37" customFormat="1" ht="20" customHeight="1" x14ac:dyDescent="0.35">
      <c r="A103" s="45"/>
      <c r="B103" s="2"/>
      <c r="C103" s="90">
        <f>C102+1</f>
        <v>2027</v>
      </c>
      <c r="D103" s="89">
        <f>H92</f>
        <v>925000</v>
      </c>
      <c r="E103" s="82"/>
      <c r="F103" s="91"/>
      <c r="G103" s="91"/>
      <c r="H103" s="91"/>
      <c r="I103" s="83">
        <f>$D103/$C$96</f>
        <v>46250</v>
      </c>
      <c r="J103" s="87">
        <f>IF(SUM($F103:I103)+$D103/$C$96&gt;$D103,0,$D103/$C$96)</f>
        <v>46250</v>
      </c>
    </row>
    <row r="104" spans="1:10" s="37" customFormat="1" ht="20" customHeight="1" thickBot="1" x14ac:dyDescent="0.4">
      <c r="A104" s="45"/>
      <c r="B104" s="2"/>
      <c r="C104" s="93">
        <f>C103+1</f>
        <v>2028</v>
      </c>
      <c r="D104" s="94">
        <f>I92</f>
        <v>950000</v>
      </c>
      <c r="E104" s="95"/>
      <c r="F104" s="96"/>
      <c r="G104" s="96"/>
      <c r="H104" s="96"/>
      <c r="I104" s="96"/>
      <c r="J104" s="109">
        <f>$D104/$C$96</f>
        <v>47500</v>
      </c>
    </row>
    <row r="105" spans="1:10" s="37" customFormat="1" ht="20" customHeight="1" x14ac:dyDescent="0.35">
      <c r="A105" s="45"/>
      <c r="B105" s="80" t="s">
        <v>46</v>
      </c>
      <c r="C105" s="30"/>
      <c r="D105" s="30"/>
      <c r="E105" s="27"/>
      <c r="F105" s="31"/>
      <c r="G105" s="31"/>
      <c r="H105" s="31"/>
      <c r="I105" s="31"/>
      <c r="J105" s="27"/>
    </row>
    <row r="106" spans="1:10" s="37" customFormat="1" ht="20" customHeight="1" thickBot="1" x14ac:dyDescent="0.4">
      <c r="A106" s="45"/>
      <c r="C106" s="99" t="s">
        <v>55</v>
      </c>
      <c r="D106" s="98"/>
      <c r="E106" s="100"/>
      <c r="F106" s="101">
        <f>SUM(F100:F104)</f>
        <v>125000</v>
      </c>
      <c r="G106" s="97">
        <f>SUM(G100:G104)</f>
        <v>170000</v>
      </c>
      <c r="H106" s="97">
        <f>SUM(H100:H104)</f>
        <v>215000</v>
      </c>
      <c r="I106" s="97">
        <f>SUM(I100:I104)</f>
        <v>261250</v>
      </c>
      <c r="J106" s="112">
        <v>320000</v>
      </c>
    </row>
    <row r="107" spans="1:10" s="37" customFormat="1" ht="20" customHeight="1" x14ac:dyDescent="0.35">
      <c r="A107" s="45"/>
      <c r="C107" s="81" t="s">
        <v>46</v>
      </c>
      <c r="D107" s="31"/>
      <c r="E107" s="31"/>
      <c r="F107" s="31"/>
      <c r="G107" s="31"/>
      <c r="H107" s="31"/>
      <c r="I107" s="31"/>
      <c r="J107" s="31"/>
    </row>
    <row r="108" spans="1:10" s="37" customFormat="1" ht="20" customHeight="1" thickBot="1" x14ac:dyDescent="0.4">
      <c r="A108" s="45"/>
      <c r="C108" s="102" t="s">
        <v>56</v>
      </c>
      <c r="D108" s="103"/>
      <c r="E108" s="104">
        <f>E106</f>
        <v>0</v>
      </c>
      <c r="F108" s="104">
        <f>F106</f>
        <v>125000</v>
      </c>
      <c r="G108" s="104">
        <f>F108+G106</f>
        <v>295000</v>
      </c>
      <c r="H108" s="104">
        <f>G108+H106</f>
        <v>510000</v>
      </c>
      <c r="I108" s="104">
        <f>H108+I106</f>
        <v>771250</v>
      </c>
      <c r="J108" s="110">
        <f>I108+J106</f>
        <v>1091250</v>
      </c>
    </row>
    <row r="109" spans="1:10" s="37" customFormat="1" ht="20" customHeight="1" x14ac:dyDescent="0.35">
      <c r="A109" s="45"/>
      <c r="C109" s="79" t="s">
        <v>46</v>
      </c>
      <c r="D109" s="27"/>
      <c r="E109" s="27"/>
      <c r="F109" s="27"/>
      <c r="G109" s="27"/>
      <c r="H109" s="27"/>
      <c r="I109" s="27"/>
      <c r="J109" s="27"/>
    </row>
    <row r="110" spans="1:10" s="37" customFormat="1" ht="20" customHeight="1" thickBot="1" x14ac:dyDescent="0.4">
      <c r="A110" s="45"/>
      <c r="C110" s="105" t="s">
        <v>57</v>
      </c>
      <c r="D110" s="106"/>
      <c r="E110" s="107">
        <f>E55</f>
        <v>2500000</v>
      </c>
      <c r="F110" s="108">
        <f>F94-F108</f>
        <v>3275000</v>
      </c>
      <c r="G110" s="108">
        <f>G94-G108</f>
        <v>4005000</v>
      </c>
      <c r="H110" s="108">
        <f>H94-H108</f>
        <v>4715000</v>
      </c>
      <c r="I110" s="108">
        <f>I94-I108</f>
        <v>5403750</v>
      </c>
      <c r="J110" s="111">
        <f>J94-J108</f>
        <v>5403750</v>
      </c>
    </row>
    <row r="111" spans="1:10" x14ac:dyDescent="0.35">
      <c r="B111" s="35"/>
      <c r="C111" s="35"/>
      <c r="D111" s="35"/>
      <c r="E111" s="35"/>
      <c r="F111" s="35"/>
      <c r="G111" s="36"/>
      <c r="H111" s="35"/>
      <c r="I111" s="35"/>
      <c r="J111" s="35"/>
    </row>
    <row r="112" spans="1:10" s="72" customFormat="1" ht="20" customHeight="1" x14ac:dyDescent="0.35">
      <c r="B112" s="67" t="s">
        <v>52</v>
      </c>
      <c r="C112" s="70"/>
      <c r="D112" s="70"/>
      <c r="E112" s="148">
        <f t="shared" ref="E112:J112" si="33">E$21</f>
        <v>2024</v>
      </c>
      <c r="F112" s="149">
        <f t="shared" si="33"/>
        <v>2025</v>
      </c>
      <c r="G112" s="149">
        <f t="shared" si="33"/>
        <v>2026</v>
      </c>
      <c r="H112" s="149">
        <f t="shared" si="33"/>
        <v>2027</v>
      </c>
      <c r="I112" s="149">
        <f t="shared" si="33"/>
        <v>2028</v>
      </c>
      <c r="J112" s="149">
        <f t="shared" si="33"/>
        <v>2029</v>
      </c>
    </row>
    <row r="113" spans="2:10" ht="5" customHeight="1" x14ac:dyDescent="0.35">
      <c r="B113" s="172" t="s">
        <v>46</v>
      </c>
      <c r="C113" s="173"/>
      <c r="D113" s="173"/>
      <c r="E113" s="174"/>
      <c r="F113" s="173"/>
      <c r="G113" s="173"/>
      <c r="H113" s="173"/>
      <c r="I113" s="173"/>
      <c r="J113" s="175"/>
    </row>
    <row r="114" spans="2:10" ht="20" customHeight="1" x14ac:dyDescent="0.35">
      <c r="B114" s="169" t="s">
        <v>3</v>
      </c>
      <c r="C114" s="127"/>
      <c r="D114" s="126"/>
      <c r="E114" s="127"/>
      <c r="F114" s="170">
        <f>F37</f>
        <v>343250</v>
      </c>
      <c r="G114" s="170">
        <f>G37</f>
        <v>425075</v>
      </c>
      <c r="H114" s="170">
        <f>H37</f>
        <v>477082.50000000047</v>
      </c>
      <c r="I114" s="170">
        <f>I37</f>
        <v>625040.75000000093</v>
      </c>
      <c r="J114" s="171">
        <f>J37</f>
        <v>717762.55625000084</v>
      </c>
    </row>
    <row r="115" spans="2:10" ht="20" customHeight="1" x14ac:dyDescent="0.35">
      <c r="B115" s="117" t="s">
        <v>41</v>
      </c>
      <c r="C115" s="118"/>
      <c r="D115" s="119"/>
      <c r="E115" s="118"/>
      <c r="F115" s="138">
        <f>IF(F114&lt;0,0,-F114*F45)</f>
        <v>-92677.5</v>
      </c>
      <c r="G115" s="138">
        <f>IF(G114&lt;0,0,-G114*G45)</f>
        <v>-114770.25000000001</v>
      </c>
      <c r="H115" s="138">
        <f>IF(H114&lt;0,0,-H114*H45)</f>
        <v>-128812.27500000014</v>
      </c>
      <c r="I115" s="138">
        <f>IF(I114&lt;0,0,-I114*I45)</f>
        <v>-168761.00250000026</v>
      </c>
      <c r="J115" s="139">
        <f>IF(J114&lt;0,0,-J114*J45)</f>
        <v>-193795.89018750025</v>
      </c>
    </row>
    <row r="116" spans="2:10" ht="20" customHeight="1" x14ac:dyDescent="0.35">
      <c r="B116" s="117" t="s">
        <v>42</v>
      </c>
      <c r="C116" s="118"/>
      <c r="D116" s="119"/>
      <c r="E116" s="118"/>
      <c r="F116" s="138">
        <f>F68</f>
        <v>125000</v>
      </c>
      <c r="G116" s="138">
        <f>G68</f>
        <v>170000</v>
      </c>
      <c r="H116" s="138">
        <f>H68</f>
        <v>215000</v>
      </c>
      <c r="I116" s="138">
        <f>I68</f>
        <v>261250</v>
      </c>
      <c r="J116" s="139">
        <f>J68</f>
        <v>320000</v>
      </c>
    </row>
    <row r="117" spans="2:10" ht="20" customHeight="1" x14ac:dyDescent="0.35">
      <c r="B117" s="117" t="s">
        <v>43</v>
      </c>
      <c r="C117" s="118"/>
      <c r="D117" s="119"/>
      <c r="E117" s="118"/>
      <c r="F117" s="138">
        <f>SUM(F69:F71)</f>
        <v>493417.80821917811</v>
      </c>
      <c r="G117" s="138">
        <f>SUM(G69:G71)</f>
        <v>-82658.219178082159</v>
      </c>
      <c r="H117" s="138">
        <f>SUM(H69:H71)</f>
        <v>-90924.04109589057</v>
      </c>
      <c r="I117" s="138">
        <f>SUM(I69:I71)</f>
        <v>-100016.44520547969</v>
      </c>
      <c r="J117" s="139">
        <f>SUM(J69:J71)</f>
        <v>-82513.567294520559</v>
      </c>
    </row>
    <row r="118" spans="2:10" ht="20" customHeight="1" x14ac:dyDescent="0.35">
      <c r="B118" s="117" t="s">
        <v>7</v>
      </c>
      <c r="C118" s="118"/>
      <c r="D118" s="118"/>
      <c r="E118" s="118"/>
      <c r="F118" s="138">
        <f>F76</f>
        <v>-900000</v>
      </c>
      <c r="G118" s="138">
        <f>G76</f>
        <v>-900000</v>
      </c>
      <c r="H118" s="138">
        <f>H76</f>
        <v>-925000</v>
      </c>
      <c r="I118" s="138">
        <f>I76</f>
        <v>-950000</v>
      </c>
      <c r="J118" s="139">
        <f>J76</f>
        <v>-320000</v>
      </c>
    </row>
    <row r="119" spans="2:10" ht="20" customHeight="1" x14ac:dyDescent="0.35">
      <c r="B119" s="121" t="s">
        <v>44</v>
      </c>
      <c r="C119" s="122"/>
      <c r="D119" s="122"/>
      <c r="E119" s="122"/>
      <c r="F119" s="140">
        <f>SUM(F114:F118)</f>
        <v>-31009.691780821886</v>
      </c>
      <c r="G119" s="140">
        <f>SUM(G114:G118)</f>
        <v>-502353.46917808219</v>
      </c>
      <c r="H119" s="140">
        <f>SUM(H114:H118)</f>
        <v>-452653.81609589024</v>
      </c>
      <c r="I119" s="140">
        <f>SUM(I114:I118)</f>
        <v>-332486.69770547911</v>
      </c>
      <c r="J119" s="141">
        <f>SUM(J114:J118)</f>
        <v>441453.09876798</v>
      </c>
    </row>
    <row r="120" spans="2:10" ht="20" customHeight="1" x14ac:dyDescent="0.35">
      <c r="B120" s="123" t="s">
        <v>8</v>
      </c>
      <c r="C120" s="119"/>
      <c r="D120" s="119"/>
      <c r="E120" s="119"/>
      <c r="F120" s="142"/>
      <c r="G120" s="142"/>
      <c r="H120" s="142"/>
      <c r="I120" s="142"/>
      <c r="J120" s="143">
        <f>J33*C7</f>
        <v>4669931.5031250035</v>
      </c>
    </row>
    <row r="121" spans="2:10" ht="20" customHeight="1" x14ac:dyDescent="0.35">
      <c r="B121" s="121" t="s">
        <v>45</v>
      </c>
      <c r="C121" s="122"/>
      <c r="D121" s="122"/>
      <c r="E121" s="122"/>
      <c r="F121" s="140">
        <f>F119+F120</f>
        <v>-31009.691780821886</v>
      </c>
      <c r="G121" s="140">
        <f>G119+G120</f>
        <v>-502353.46917808219</v>
      </c>
      <c r="H121" s="140">
        <f>H119+H120</f>
        <v>-452653.81609589024</v>
      </c>
      <c r="I121" s="140">
        <f>I119+I120</f>
        <v>-332486.69770547911</v>
      </c>
      <c r="J121" s="141">
        <f>J119+J120</f>
        <v>5111384.6018929835</v>
      </c>
    </row>
    <row r="122" spans="2:10" ht="20" customHeight="1" x14ac:dyDescent="0.35">
      <c r="B122" s="123" t="s">
        <v>46</v>
      </c>
      <c r="C122" s="119"/>
      <c r="D122" s="119"/>
      <c r="E122" s="119"/>
      <c r="F122" s="144"/>
      <c r="G122" s="144"/>
      <c r="H122" s="144"/>
      <c r="I122" s="144"/>
      <c r="J122" s="145"/>
    </row>
    <row r="123" spans="2:10" ht="20" customHeight="1" x14ac:dyDescent="0.35">
      <c r="B123" s="123" t="s">
        <v>47</v>
      </c>
      <c r="C123" s="119"/>
      <c r="D123" s="119"/>
      <c r="E123" s="119"/>
      <c r="F123" s="146">
        <f>C9</f>
        <v>1</v>
      </c>
      <c r="G123" s="146">
        <v>1</v>
      </c>
      <c r="H123" s="146">
        <v>1</v>
      </c>
      <c r="I123" s="146">
        <v>1</v>
      </c>
      <c r="J123" s="147">
        <v>1</v>
      </c>
    </row>
    <row r="124" spans="2:10" ht="20" customHeight="1" x14ac:dyDescent="0.35">
      <c r="B124" s="123" t="s">
        <v>48</v>
      </c>
      <c r="C124" s="119"/>
      <c r="D124" s="119"/>
      <c r="E124" s="119"/>
      <c r="F124" s="146">
        <f>1/(1+$C$8)^C9</f>
        <v>0.90909090909090906</v>
      </c>
      <c r="G124" s="146">
        <f>F124/(1+$C$8)^G123</f>
        <v>0.82644628099173545</v>
      </c>
      <c r="H124" s="146">
        <f>G124/(1+$C$8)^H123</f>
        <v>0.75131480090157765</v>
      </c>
      <c r="I124" s="146">
        <f>H124/(1+$C$8)^I123</f>
        <v>0.68301345536507052</v>
      </c>
      <c r="J124" s="147">
        <f>I124/(1+$C$8)^J123</f>
        <v>0.62092132305915493</v>
      </c>
    </row>
    <row r="125" spans="2:10" ht="20" customHeight="1" x14ac:dyDescent="0.35">
      <c r="B125" s="123" t="s">
        <v>49</v>
      </c>
      <c r="C125" s="119"/>
      <c r="D125" s="119"/>
      <c r="E125" s="119"/>
      <c r="F125" s="118">
        <f>F121*F124</f>
        <v>-28190.628891656259</v>
      </c>
      <c r="G125" s="118">
        <f>G121*G124</f>
        <v>-415168.15634552244</v>
      </c>
      <c r="H125" s="118">
        <f>H121*H124</f>
        <v>-340085.5117174231</v>
      </c>
      <c r="I125" s="118">
        <f>I121*I124</f>
        <v>-227092.88826274095</v>
      </c>
      <c r="J125" s="120">
        <f>J121*J124</f>
        <v>3173767.689671583</v>
      </c>
    </row>
    <row r="126" spans="2:10" ht="20" customHeight="1" x14ac:dyDescent="0.35">
      <c r="B126" s="125" t="s">
        <v>50</v>
      </c>
      <c r="C126" s="126"/>
      <c r="D126" s="126"/>
      <c r="E126" s="127">
        <f>SUM(F125:J125)</f>
        <v>2163230.5044542402</v>
      </c>
      <c r="F126" s="119"/>
      <c r="G126" s="119"/>
      <c r="H126" s="119"/>
      <c r="I126" s="119"/>
      <c r="J126" s="124"/>
    </row>
    <row r="127" spans="2:10" ht="20" customHeight="1" x14ac:dyDescent="0.35">
      <c r="B127" s="123" t="s">
        <v>46</v>
      </c>
      <c r="C127" s="119"/>
      <c r="D127" s="119"/>
      <c r="E127" s="118"/>
      <c r="F127" s="119"/>
      <c r="G127" s="119"/>
      <c r="H127" s="119"/>
      <c r="I127" s="119"/>
      <c r="J127" s="124"/>
    </row>
    <row r="128" spans="2:10" ht="20" customHeight="1" x14ac:dyDescent="0.35">
      <c r="B128" s="128" t="s">
        <v>9</v>
      </c>
      <c r="C128" s="129"/>
      <c r="D128" s="129"/>
      <c r="E128" s="130">
        <f>E126</f>
        <v>2163230.5044542402</v>
      </c>
      <c r="F128" s="119"/>
      <c r="G128" s="119"/>
      <c r="H128" s="119"/>
      <c r="I128" s="119"/>
      <c r="J128" s="124"/>
    </row>
    <row r="129" spans="2:10" ht="20" customHeight="1" x14ac:dyDescent="0.35">
      <c r="B129" s="123" t="s">
        <v>6</v>
      </c>
      <c r="C129" s="131"/>
      <c r="D129" s="131"/>
      <c r="E129" s="132">
        <f>E52</f>
        <v>-1864000</v>
      </c>
      <c r="F129" s="119"/>
      <c r="G129" s="119"/>
      <c r="H129" s="119"/>
      <c r="I129" s="119"/>
      <c r="J129" s="124"/>
    </row>
    <row r="130" spans="2:10" ht="20" customHeight="1" x14ac:dyDescent="0.35">
      <c r="B130" s="123" t="s">
        <v>51</v>
      </c>
      <c r="C130" s="131"/>
      <c r="D130" s="131"/>
      <c r="E130" s="132">
        <f>-E59</f>
        <v>-2250000</v>
      </c>
      <c r="F130" s="119"/>
      <c r="G130" s="119"/>
      <c r="H130" s="119"/>
      <c r="I130" s="119"/>
      <c r="J130" s="124"/>
    </row>
    <row r="131" spans="2:10" ht="20" customHeight="1" x14ac:dyDescent="0.35">
      <c r="B131" s="128" t="s">
        <v>10</v>
      </c>
      <c r="C131" s="129"/>
      <c r="D131" s="129"/>
      <c r="E131" s="130">
        <f>SUM(E128:E130)</f>
        <v>-1950769.4955457598</v>
      </c>
      <c r="F131" s="119"/>
      <c r="G131" s="119"/>
      <c r="H131" s="119"/>
      <c r="I131" s="119"/>
      <c r="J131" s="124"/>
    </row>
    <row r="132" spans="2:10" ht="20" customHeight="1" x14ac:dyDescent="0.35">
      <c r="B132" s="123" t="s">
        <v>46</v>
      </c>
      <c r="C132" s="131"/>
      <c r="D132" s="131"/>
      <c r="E132" s="132"/>
      <c r="F132" s="119"/>
      <c r="G132" s="119"/>
      <c r="H132" s="119"/>
      <c r="I132" s="119"/>
      <c r="J132" s="124"/>
    </row>
    <row r="133" spans="2:10" ht="20" customHeight="1" x14ac:dyDescent="0.35">
      <c r="B133" s="125" t="s">
        <v>40</v>
      </c>
      <c r="C133" s="131"/>
      <c r="D133" s="131"/>
      <c r="E133" s="132"/>
      <c r="F133" s="119"/>
      <c r="G133" s="119"/>
      <c r="H133" s="119"/>
      <c r="I133" s="119"/>
      <c r="J133" s="124"/>
    </row>
    <row r="134" spans="2:10" ht="20" customHeight="1" x14ac:dyDescent="0.35">
      <c r="B134" s="123" t="s">
        <v>15</v>
      </c>
      <c r="C134" s="131"/>
      <c r="D134" s="119"/>
      <c r="E134" s="133">
        <f>E128/E33</f>
        <v>3.7621400077465048</v>
      </c>
      <c r="F134" s="119"/>
      <c r="G134" s="119"/>
      <c r="H134" s="119"/>
      <c r="I134" s="119"/>
      <c r="J134" s="124"/>
    </row>
    <row r="135" spans="2:10" ht="20" customHeight="1" x14ac:dyDescent="0.35">
      <c r="B135" s="123" t="s">
        <v>16</v>
      </c>
      <c r="C135" s="131"/>
      <c r="D135" s="119"/>
      <c r="E135" s="133">
        <f>E131/E47</f>
        <v>-8.3011467895564248</v>
      </c>
      <c r="F135" s="119"/>
      <c r="G135" s="119"/>
      <c r="H135" s="119"/>
      <c r="I135" s="119"/>
      <c r="J135" s="124"/>
    </row>
    <row r="136" spans="2:10" ht="20" customHeight="1" x14ac:dyDescent="0.35">
      <c r="B136" s="176" t="s">
        <v>17</v>
      </c>
      <c r="C136" s="177"/>
      <c r="D136" s="177"/>
      <c r="E136" s="178">
        <f>E131/E60</f>
        <v>6.6352703930127888</v>
      </c>
      <c r="F136" s="177"/>
      <c r="G136" s="177"/>
      <c r="H136" s="177"/>
      <c r="I136" s="177"/>
      <c r="J136" s="179"/>
    </row>
    <row r="137" spans="2:10" ht="11" customHeight="1" thickBot="1" x14ac:dyDescent="0.4">
      <c r="B137" s="134"/>
      <c r="C137" s="135"/>
      <c r="D137" s="135"/>
      <c r="E137" s="136"/>
      <c r="F137" s="135"/>
      <c r="G137" s="135"/>
      <c r="H137" s="135"/>
      <c r="I137" s="135"/>
      <c r="J137" s="137"/>
    </row>
    <row r="139" spans="2:10" s="20" customFormat="1" ht="25" customHeight="1" x14ac:dyDescent="0.35">
      <c r="B139" s="25" t="s">
        <v>28</v>
      </c>
    </row>
    <row r="140" spans="2:10" s="72" customFormat="1" ht="20" customHeight="1" x14ac:dyDescent="0.35">
      <c r="B140" s="75"/>
      <c r="C140" s="73">
        <f>D140-1</f>
        <v>2022</v>
      </c>
      <c r="D140" s="73">
        <f>E140-1</f>
        <v>2023</v>
      </c>
      <c r="E140" s="73">
        <f t="shared" ref="E140:J140" si="34">E$21</f>
        <v>2024</v>
      </c>
      <c r="F140" s="74">
        <f t="shared" si="34"/>
        <v>2025</v>
      </c>
      <c r="G140" s="74">
        <f t="shared" si="34"/>
        <v>2026</v>
      </c>
      <c r="H140" s="74">
        <f t="shared" si="34"/>
        <v>2027</v>
      </c>
      <c r="I140" s="74">
        <f t="shared" si="34"/>
        <v>2028</v>
      </c>
      <c r="J140" s="74">
        <f t="shared" si="34"/>
        <v>2029</v>
      </c>
    </row>
    <row r="141" spans="2:10" ht="5" customHeight="1" x14ac:dyDescent="0.35">
      <c r="B141" s="160"/>
      <c r="C141" s="161"/>
      <c r="D141" s="161"/>
      <c r="E141" s="162"/>
      <c r="F141" s="162"/>
      <c r="G141" s="162"/>
      <c r="H141" s="162"/>
      <c r="I141" s="162"/>
      <c r="J141" s="223"/>
    </row>
    <row r="142" spans="2:10" ht="20" customHeight="1" x14ac:dyDescent="0.35">
      <c r="B142" s="163" t="s">
        <v>69</v>
      </c>
      <c r="C142" s="164">
        <f t="shared" ref="C142:J142" si="35">C59/C33</f>
        <v>-181.33333333333334</v>
      </c>
      <c r="D142" s="164">
        <f t="shared" si="35"/>
        <v>-6.666666666666667</v>
      </c>
      <c r="E142" s="164">
        <f t="shared" si="35"/>
        <v>3.9130434782608696</v>
      </c>
      <c r="F142" s="164">
        <f t="shared" si="35"/>
        <v>3.844100373731981</v>
      </c>
      <c r="G142" s="164">
        <f t="shared" si="35"/>
        <v>2.2686216023190355</v>
      </c>
      <c r="H142" s="164">
        <f t="shared" si="35"/>
        <v>1.3726687208533654</v>
      </c>
      <c r="I142" s="164">
        <f t="shared" si="35"/>
        <v>0.67697874540606384</v>
      </c>
      <c r="J142" s="224">
        <f t="shared" si="35"/>
        <v>0.28908346923217459</v>
      </c>
    </row>
    <row r="143" spans="2:10" ht="20" customHeight="1" x14ac:dyDescent="0.35">
      <c r="B143" s="163" t="s">
        <v>70</v>
      </c>
      <c r="C143" s="164" t="s">
        <v>58</v>
      </c>
      <c r="D143" s="164" t="s">
        <v>58</v>
      </c>
      <c r="E143" s="164" t="s">
        <v>58</v>
      </c>
      <c r="F143" s="164">
        <f>IF(-F79-F80&lt;=0,"NA",F121/(-(F79+F80)))</f>
        <v>-5.62534091262075E-2</v>
      </c>
      <c r="G143" s="164">
        <f>IF(-G79-G80&lt;=0,"NA",G121/(-(G79+G80)))</f>
        <v>-0.95007748307911521</v>
      </c>
      <c r="H143" s="164">
        <f>IF(-H79-H80&lt;=0,"NA",H121/(-(H79+H80)))</f>
        <v>-0.98940724829702786</v>
      </c>
      <c r="I143" s="164">
        <f>IF(-I79-I80&lt;=0,"NA",I121/(-(I79+I80)))</f>
        <v>-0.85527124811698807</v>
      </c>
      <c r="J143" s="224">
        <f>IF(-J79-J80&lt;=0,"NA",J121/(-(J79+J80)))</f>
        <v>15.849254579513127</v>
      </c>
    </row>
    <row r="144" spans="2:10" ht="20" customHeight="1" x14ac:dyDescent="0.35">
      <c r="B144" s="163" t="s">
        <v>71</v>
      </c>
      <c r="C144" s="164">
        <f t="shared" ref="C144:J144" si="36">IF(-C40&lt;=0,"NA",-C37/C40)</f>
        <v>-9.7058823529411757</v>
      </c>
      <c r="D144" s="164">
        <f t="shared" si="36"/>
        <v>-12.01923076923077</v>
      </c>
      <c r="E144" s="164">
        <f t="shared" si="36"/>
        <v>6.25</v>
      </c>
      <c r="F144" s="164">
        <f t="shared" si="36"/>
        <v>3.3901234567901235</v>
      </c>
      <c r="G144" s="164">
        <f t="shared" si="36"/>
        <v>5.3977777777777778</v>
      </c>
      <c r="H144" s="164">
        <f t="shared" si="36"/>
        <v>8.2970869565217473</v>
      </c>
      <c r="I144" s="164">
        <f t="shared" si="36"/>
        <v>16.130083870967766</v>
      </c>
      <c r="J144" s="224">
        <f t="shared" si="36"/>
        <v>31.900558055555592</v>
      </c>
    </row>
    <row r="145" spans="2:10" ht="20" customHeight="1" x14ac:dyDescent="0.35">
      <c r="B145" s="163" t="s">
        <v>46</v>
      </c>
      <c r="C145" s="165"/>
      <c r="D145" s="165"/>
      <c r="E145" s="166"/>
      <c r="F145" s="166"/>
      <c r="G145" s="166"/>
      <c r="H145" s="166"/>
      <c r="I145" s="166"/>
      <c r="J145" s="225"/>
    </row>
    <row r="146" spans="2:10" ht="20" customHeight="1" x14ac:dyDescent="0.35">
      <c r="B146" s="163" t="s">
        <v>72</v>
      </c>
      <c r="C146" s="164">
        <f t="shared" ref="C146:J146" si="37">IF(ISERR(SUM(C52:C54)/SUM(C58:C58)),"NA",SUM(C52:C54)/SUM(C58:C58))</f>
        <v>11.524064171122994</v>
      </c>
      <c r="D146" s="164">
        <f t="shared" si="37"/>
        <v>3.5298245614035086</v>
      </c>
      <c r="E146" s="164">
        <f t="shared" si="37"/>
        <v>-0.64848484848484844</v>
      </c>
      <c r="F146" s="164">
        <f t="shared" si="37"/>
        <v>-5.1371568860378556</v>
      </c>
      <c r="G146" s="164">
        <f t="shared" si="37"/>
        <v>-7.827892167097442</v>
      </c>
      <c r="H146" s="164">
        <f t="shared" si="37"/>
        <v>-9.5853720393638095</v>
      </c>
      <c r="I146" s="164">
        <f t="shared" si="37"/>
        <v>-10.391635895703356</v>
      </c>
      <c r="J146" s="224">
        <f t="shared" si="37"/>
        <v>-9.0378211827301413</v>
      </c>
    </row>
    <row r="147" spans="2:10" ht="20" customHeight="1" x14ac:dyDescent="0.35">
      <c r="B147" s="163" t="s">
        <v>37</v>
      </c>
      <c r="C147" s="167">
        <f t="shared" ref="C147:J147" si="38">C53/C22*365</f>
        <v>109.5</v>
      </c>
      <c r="D147" s="167">
        <f t="shared" si="38"/>
        <v>84.230769230769241</v>
      </c>
      <c r="E147" s="167">
        <f t="shared" si="38"/>
        <v>64.888888888888886</v>
      </c>
      <c r="F147" s="167">
        <f t="shared" si="38"/>
        <v>40</v>
      </c>
      <c r="G147" s="167">
        <f t="shared" si="38"/>
        <v>40</v>
      </c>
      <c r="H147" s="167">
        <f t="shared" si="38"/>
        <v>40</v>
      </c>
      <c r="I147" s="167">
        <f t="shared" si="38"/>
        <v>40</v>
      </c>
      <c r="J147" s="226">
        <f t="shared" si="38"/>
        <v>40</v>
      </c>
    </row>
    <row r="148" spans="2:10" ht="20" customHeight="1" x14ac:dyDescent="0.35">
      <c r="B148" s="163" t="s">
        <v>38</v>
      </c>
      <c r="C148" s="167">
        <f t="shared" ref="C148:J148" si="39">-C54/C25*365</f>
        <v>156.13888888888889</v>
      </c>
      <c r="D148" s="167">
        <f t="shared" si="39"/>
        <v>116.8</v>
      </c>
      <c r="E148" s="167">
        <f t="shared" si="39"/>
        <v>119.32692307692308</v>
      </c>
      <c r="F148" s="167">
        <f t="shared" si="39"/>
        <v>60</v>
      </c>
      <c r="G148" s="167">
        <f t="shared" si="39"/>
        <v>59.999999999999986</v>
      </c>
      <c r="H148" s="167">
        <f t="shared" si="39"/>
        <v>60</v>
      </c>
      <c r="I148" s="167">
        <f t="shared" si="39"/>
        <v>60</v>
      </c>
      <c r="J148" s="226">
        <f t="shared" si="39"/>
        <v>60</v>
      </c>
    </row>
    <row r="149" spans="2:10" ht="20" customHeight="1" x14ac:dyDescent="0.35">
      <c r="B149" s="163" t="s">
        <v>39</v>
      </c>
      <c r="C149" s="167">
        <f t="shared" ref="C149:J149" si="40">-C58/C25*365</f>
        <v>37.919444444444444</v>
      </c>
      <c r="D149" s="167">
        <f t="shared" si="40"/>
        <v>41.61</v>
      </c>
      <c r="E149" s="167">
        <f t="shared" si="40"/>
        <v>46.326923076923073</v>
      </c>
      <c r="F149" s="167">
        <f t="shared" si="40"/>
        <v>30</v>
      </c>
      <c r="G149" s="167">
        <f t="shared" si="40"/>
        <v>29.999999999999993</v>
      </c>
      <c r="H149" s="167">
        <f t="shared" si="40"/>
        <v>30</v>
      </c>
      <c r="I149" s="167">
        <f t="shared" si="40"/>
        <v>30</v>
      </c>
      <c r="J149" s="226">
        <f t="shared" si="40"/>
        <v>30</v>
      </c>
    </row>
    <row r="150" spans="2:10" ht="20" customHeight="1" x14ac:dyDescent="0.35">
      <c r="B150" s="163" t="s">
        <v>46</v>
      </c>
      <c r="C150" s="165"/>
      <c r="D150" s="165"/>
      <c r="E150" s="166"/>
      <c r="F150" s="166"/>
      <c r="G150" s="166"/>
      <c r="H150" s="166"/>
      <c r="I150" s="166"/>
      <c r="J150" s="225"/>
    </row>
    <row r="151" spans="2:10" ht="20" customHeight="1" x14ac:dyDescent="0.35">
      <c r="B151" s="163" t="s">
        <v>73</v>
      </c>
      <c r="C151" s="166">
        <f t="shared" ref="C151:J151" si="41">C34</f>
        <v>-5.454545454545455E-3</v>
      </c>
      <c r="D151" s="166">
        <f t="shared" si="41"/>
        <v>-0.13846153846153847</v>
      </c>
      <c r="E151" s="166">
        <f t="shared" si="41"/>
        <v>0.12777777777777777</v>
      </c>
      <c r="F151" s="166">
        <f t="shared" si="41"/>
        <v>9.0483091787439615E-2</v>
      </c>
      <c r="G151" s="166">
        <f t="shared" si="41"/>
        <v>0.10453667105841019</v>
      </c>
      <c r="H151" s="166">
        <f t="shared" si="41"/>
        <v>0.11052541222501702</v>
      </c>
      <c r="I151" s="166">
        <f t="shared" si="41"/>
        <v>0.1286731127298861</v>
      </c>
      <c r="J151" s="225">
        <f t="shared" si="41"/>
        <v>0.14015258839808228</v>
      </c>
    </row>
    <row r="152" spans="2:10" ht="20" customHeight="1" x14ac:dyDescent="0.35">
      <c r="B152" s="163" t="s">
        <v>74</v>
      </c>
      <c r="C152" s="164" t="s">
        <v>58</v>
      </c>
      <c r="D152" s="166">
        <f t="shared" ref="D152:J152" si="42">IF(ISERR(D22/C22-1),"NA",D22/C22-1)</f>
        <v>0.18181818181818188</v>
      </c>
      <c r="E152" s="166">
        <f t="shared" si="42"/>
        <v>0.38461538461538458</v>
      </c>
      <c r="F152" s="166">
        <f t="shared" si="42"/>
        <v>0.14999999999999991</v>
      </c>
      <c r="G152" s="166">
        <f t="shared" si="42"/>
        <v>0.10000000000000009</v>
      </c>
      <c r="H152" s="166">
        <f t="shared" si="42"/>
        <v>0.10000000000000009</v>
      </c>
      <c r="I152" s="166">
        <f t="shared" si="42"/>
        <v>0.10000000000000009</v>
      </c>
      <c r="J152" s="225">
        <f t="shared" si="42"/>
        <v>7.4999999999999956E-2</v>
      </c>
    </row>
    <row r="153" spans="2:10" ht="20" customHeight="1" x14ac:dyDescent="0.35">
      <c r="B153" s="163" t="s">
        <v>75</v>
      </c>
      <c r="C153" s="164" t="s">
        <v>58</v>
      </c>
      <c r="D153" s="164" t="s">
        <v>58</v>
      </c>
      <c r="E153" s="164" t="s">
        <v>58</v>
      </c>
      <c r="F153" s="166">
        <f>(F114+F115)/AVERAGE(E156:F156)</f>
        <v>6.3263245632920642E-2</v>
      </c>
      <c r="G153" s="166">
        <f>(G114+G115)/AVERAGE(F156:G156)</f>
        <v>6.8835593527695332E-2</v>
      </c>
      <c r="H153" s="166">
        <f>(H114+H115)/AVERAGE(G156:H156)</f>
        <v>6.5529581286690605E-2</v>
      </c>
      <c r="I153" s="166">
        <f>(I114+I115)/AVERAGE(H156:I156)</f>
        <v>7.4683065227996115E-2</v>
      </c>
      <c r="J153" s="225">
        <f>(J114+J115)/AVERAGE(I156:J156)</f>
        <v>8.0053726738948006E-2</v>
      </c>
    </row>
    <row r="154" spans="2:10" ht="20" customHeight="1" x14ac:dyDescent="0.35">
      <c r="B154" s="163" t="s">
        <v>76</v>
      </c>
      <c r="C154" s="166">
        <f>C47/AVERAGE(C60:C60)</f>
        <v>-1.1030042918454936</v>
      </c>
      <c r="D154" s="166">
        <f t="shared" ref="D154:J154" si="43">D47/AVERAGE(C60:D60)</f>
        <v>5.1486486486486482</v>
      </c>
      <c r="E154" s="166">
        <f t="shared" si="43"/>
        <v>-0.57108140947752128</v>
      </c>
      <c r="F154" s="166">
        <f t="shared" si="43"/>
        <v>-0.85894880147809594</v>
      </c>
      <c r="G154" s="166">
        <f t="shared" si="43"/>
        <v>27.87823402114433</v>
      </c>
      <c r="H154" s="166">
        <f t="shared" si="43"/>
        <v>1.0612225930467101</v>
      </c>
      <c r="I154" s="166">
        <f t="shared" si="43"/>
        <v>0.65265742872687416</v>
      </c>
      <c r="J154" s="225">
        <f t="shared" si="43"/>
        <v>0.45173618544053568</v>
      </c>
    </row>
    <row r="155" spans="2:10" ht="20" customHeight="1" x14ac:dyDescent="0.35">
      <c r="B155" s="163" t="s">
        <v>77</v>
      </c>
      <c r="C155" s="164">
        <f t="shared" ref="C155:J155" si="44">C22/C56</f>
        <v>0.87579617834394907</v>
      </c>
      <c r="D155" s="164">
        <f t="shared" si="44"/>
        <v>1.179245283018868</v>
      </c>
      <c r="E155" s="164">
        <f t="shared" si="44"/>
        <v>1.9685039370078741</v>
      </c>
      <c r="F155" s="164">
        <f t="shared" si="44"/>
        <v>2.6646154306255529</v>
      </c>
      <c r="G155" s="164">
        <f t="shared" si="44"/>
        <v>3.2144998124599531</v>
      </c>
      <c r="H155" s="164">
        <f t="shared" si="44"/>
        <v>3.6710352599494325</v>
      </c>
      <c r="I155" s="164">
        <f t="shared" si="44"/>
        <v>3.794781462675612</v>
      </c>
      <c r="J155" s="224">
        <f t="shared" si="44"/>
        <v>3.6145231471834132</v>
      </c>
    </row>
    <row r="156" spans="2:10" ht="20" customHeight="1" x14ac:dyDescent="0.35">
      <c r="B156" s="163" t="s">
        <v>78</v>
      </c>
      <c r="C156" s="168">
        <f t="shared" ref="C156:J156" si="45">SUM(C53:C55)-SUM(C58:C58)</f>
        <v>2393000</v>
      </c>
      <c r="D156" s="168">
        <f t="shared" si="45"/>
        <v>3015000</v>
      </c>
      <c r="E156" s="168">
        <f t="shared" si="45"/>
        <v>3820000</v>
      </c>
      <c r="F156" s="168">
        <f t="shared" si="45"/>
        <v>4101582.1917808224</v>
      </c>
      <c r="G156" s="168">
        <f t="shared" si="45"/>
        <v>4914240.4109589048</v>
      </c>
      <c r="H156" s="168">
        <f t="shared" si="45"/>
        <v>5715164.4520547949</v>
      </c>
      <c r="I156" s="168">
        <f t="shared" si="45"/>
        <v>6503930.8972602747</v>
      </c>
      <c r="J156" s="227">
        <f t="shared" si="45"/>
        <v>6586444.4645547951</v>
      </c>
    </row>
    <row r="157" spans="2:10" ht="11" customHeight="1" thickBot="1" x14ac:dyDescent="0.4">
      <c r="B157" s="228"/>
      <c r="C157" s="229"/>
      <c r="D157" s="229"/>
      <c r="E157" s="229"/>
      <c r="F157" s="229"/>
      <c r="G157" s="229"/>
      <c r="H157" s="229"/>
      <c r="I157" s="229"/>
      <c r="J157" s="230"/>
    </row>
    <row r="158" spans="2:10" x14ac:dyDescent="0.35">
      <c r="B158" s="159"/>
      <c r="C158" s="15"/>
      <c r="D158" s="15"/>
      <c r="E158" s="15"/>
      <c r="F158" s="15"/>
      <c r="G158" s="15"/>
      <c r="H158" s="15"/>
      <c r="I158" s="15"/>
      <c r="J158" s="15"/>
    </row>
    <row r="159" spans="2:10" s="8" customFormat="1" ht="50" customHeight="1" x14ac:dyDescent="0.25">
      <c r="B159" s="237" t="s">
        <v>0</v>
      </c>
      <c r="C159" s="237"/>
      <c r="D159" s="237"/>
      <c r="E159" s="237"/>
      <c r="F159" s="237"/>
      <c r="G159" s="237"/>
      <c r="H159" s="237"/>
      <c r="I159" s="237"/>
      <c r="J159" s="237"/>
    </row>
  </sheetData>
  <mergeCells count="1">
    <mergeCell ref="B159:J159"/>
  </mergeCells>
  <hyperlinks>
    <hyperlink ref="B159:J159" r:id="rId1" display="CLICK HERE TO CREATE IN SMARTSHEET" xr:uid="{C3E22546-B141-42A2-9924-D18B6FFB2B77}"/>
  </hyperlinks>
  <pageMargins left="0.3" right="0.3" top="0.3" bottom="0.3" header="0" footer="0"/>
  <pageSetup scale="75" fitToHeight="0" orientation="landscape" horizontalDpi="300" verticalDpi="300" r:id="rId2"/>
  <headerFooter>
    <oddFooter>Page &amp;P of &amp;N</oddFooter>
  </headerFooter>
  <rowBreaks count="4" manualBreakCount="4">
    <brk id="19" max="16383" man="1"/>
    <brk id="89" max="16383" man="1"/>
    <brk id="111" max="16383" man="1"/>
    <brk id="138" max="16383" man="1"/>
  </rowBreaks>
  <ignoredErrors>
    <ignoredError sqref="D85:J85" formula="1"/>
    <ignoredError sqref="F40 C145:C156"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C6AA5-6D13-F84C-8C34-346556D4CF32}">
  <sheetPr>
    <tabColor theme="3" tint="0.79998168889431442"/>
    <outlinePr summaryBelow="0"/>
    <pageSetUpPr fitToPage="1"/>
  </sheetPr>
  <dimension ref="A1:J157"/>
  <sheetViews>
    <sheetView showGridLines="0" workbookViewId="0">
      <pane ySplit="1" topLeftCell="A2" activePane="bottomLeft" state="frozen"/>
      <selection pane="bottomLeft" activeCell="C6" sqref="C6"/>
    </sheetView>
  </sheetViews>
  <sheetFormatPr defaultColWidth="8.81640625" defaultRowHeight="14.5" x14ac:dyDescent="0.35"/>
  <cols>
    <col min="1" max="1" width="3.36328125" style="1" customWidth="1"/>
    <col min="2" max="2" width="30.81640625" style="1" customWidth="1"/>
    <col min="3" max="10" width="16.81640625" style="1" customWidth="1"/>
    <col min="11" max="11" width="3.36328125" style="1" customWidth="1"/>
    <col min="12" max="16384" width="8.81640625" style="1"/>
  </cols>
  <sheetData>
    <row r="1" spans="2:10" s="3" customFormat="1" ht="42" customHeight="1" x14ac:dyDescent="0.35">
      <c r="B1" s="4" t="s">
        <v>103</v>
      </c>
    </row>
    <row r="2" spans="2:10" s="8" customFormat="1" ht="25" customHeight="1" x14ac:dyDescent="0.25">
      <c r="B2" s="222" t="s">
        <v>106</v>
      </c>
      <c r="C2" s="7"/>
      <c r="D2" s="7"/>
      <c r="E2" s="7"/>
    </row>
    <row r="3" spans="2:10" ht="20.5" x14ac:dyDescent="0.4">
      <c r="B3" s="17" t="s">
        <v>32</v>
      </c>
      <c r="C3" s="14"/>
      <c r="D3" s="14"/>
      <c r="E3" s="14"/>
      <c r="F3" s="14"/>
      <c r="G3" s="14"/>
      <c r="H3" s="14"/>
      <c r="I3" s="14"/>
      <c r="J3" s="14"/>
    </row>
    <row r="4" spans="2:10" ht="400" customHeight="1" x14ac:dyDescent="0.35">
      <c r="B4" s="16"/>
      <c r="C4" s="16"/>
      <c r="D4" s="16"/>
      <c r="E4" s="16"/>
      <c r="F4" s="16"/>
      <c r="G4" s="16"/>
      <c r="H4" s="16"/>
      <c r="I4" s="16"/>
      <c r="J4" s="16"/>
    </row>
    <row r="5" spans="2:10" s="18" customFormat="1" ht="25" customHeight="1" x14ac:dyDescent="0.35">
      <c r="B5" s="67" t="s">
        <v>34</v>
      </c>
      <c r="C5" s="68"/>
      <c r="D5" s="68"/>
      <c r="E5" s="68"/>
      <c r="F5" s="19" t="s">
        <v>33</v>
      </c>
      <c r="G5" s="19"/>
      <c r="H5" s="19"/>
      <c r="I5" s="19"/>
      <c r="J5" s="19"/>
    </row>
    <row r="6" spans="2:10" s="18" customFormat="1" ht="20" customHeight="1" thickBot="1" x14ac:dyDescent="0.4">
      <c r="B6" s="10" t="s">
        <v>104</v>
      </c>
      <c r="C6" s="113">
        <v>1</v>
      </c>
      <c r="D6" s="68"/>
      <c r="E6" s="68"/>
      <c r="F6" s="52" t="s">
        <v>9</v>
      </c>
      <c r="G6" s="53">
        <f>'DCF Valuation Model - BLANK'!E127</f>
        <v>-21.261173695151243</v>
      </c>
      <c r="H6" s="1"/>
      <c r="I6" s="58" t="s">
        <v>40</v>
      </c>
      <c r="J6" s="59"/>
    </row>
    <row r="7" spans="2:10" s="18" customFormat="1" ht="20" customHeight="1" x14ac:dyDescent="0.35">
      <c r="B7" s="10" t="s">
        <v>13</v>
      </c>
      <c r="C7" s="114">
        <v>0.01</v>
      </c>
      <c r="D7" s="68"/>
      <c r="E7" s="68"/>
      <c r="F7" s="56" t="s">
        <v>14</v>
      </c>
      <c r="G7" s="62">
        <f>'DCF Valuation Model - BLANK'!E51</f>
        <v>-7</v>
      </c>
      <c r="H7" s="1"/>
      <c r="I7" s="56" t="str">
        <f>'DCF Valuation Model - BLANK'!B133</f>
        <v>EV/EBITDA</v>
      </c>
      <c r="J7" s="64">
        <f>'DCF Valuation Model - BLANK'!E133</f>
        <v>21.261173695151243</v>
      </c>
    </row>
    <row r="8" spans="2:10" s="18" customFormat="1" ht="20" customHeight="1" thickBot="1" x14ac:dyDescent="0.4">
      <c r="B8" s="11" t="s">
        <v>102</v>
      </c>
      <c r="C8" s="115">
        <v>1</v>
      </c>
      <c r="D8" s="68"/>
      <c r="E8" s="68"/>
      <c r="F8" s="57" t="s">
        <v>18</v>
      </c>
      <c r="G8" s="63">
        <f>-'DCF Valuation Model - BLANK'!E58</f>
        <v>-1</v>
      </c>
      <c r="H8" s="1"/>
      <c r="I8" s="60" t="str">
        <f>'DCF Valuation Model - BLANK'!B134</f>
        <v>PE</v>
      </c>
      <c r="J8" s="65">
        <f>'DCF Valuation Model - BLANK'!E134</f>
        <v>7.3152934237878107</v>
      </c>
    </row>
    <row r="9" spans="2:10" s="18" customFormat="1" ht="20" customHeight="1" thickBot="1" x14ac:dyDescent="0.4">
      <c r="B9" s="150"/>
      <c r="C9" s="116"/>
      <c r="D9" s="68"/>
      <c r="E9" s="68"/>
      <c r="F9" s="54" t="s">
        <v>10</v>
      </c>
      <c r="G9" s="55">
        <f>SUM(G6:G8)</f>
        <v>-29.261173695151243</v>
      </c>
      <c r="H9" s="1"/>
      <c r="I9" s="61" t="str">
        <f>'DCF Valuation Model - BLANK'!B135</f>
        <v>P/B</v>
      </c>
      <c r="J9" s="66">
        <f>'DCF Valuation Model - BLANK'!E135</f>
        <v>4.8768622825252068</v>
      </c>
    </row>
    <row r="10" spans="2:10" x14ac:dyDescent="0.35">
      <c r="B10" s="9"/>
      <c r="C10" s="9"/>
      <c r="D10" s="9"/>
      <c r="E10" s="9"/>
      <c r="F10" s="9"/>
      <c r="G10" s="9"/>
      <c r="H10" s="9"/>
      <c r="I10" s="9"/>
      <c r="J10" s="9"/>
    </row>
    <row r="11" spans="2:10" s="20" customFormat="1" ht="25" customHeight="1" x14ac:dyDescent="0.35">
      <c r="B11" s="19" t="s">
        <v>4</v>
      </c>
      <c r="C11" s="19"/>
      <c r="D11" s="19"/>
      <c r="E11" s="19"/>
    </row>
    <row r="12" spans="2:10" ht="20" customHeight="1" x14ac:dyDescent="0.35">
      <c r="B12" s="42" t="s">
        <v>35</v>
      </c>
      <c r="C12" s="43" t="s">
        <v>19</v>
      </c>
      <c r="D12" s="46">
        <v>2025</v>
      </c>
      <c r="E12" s="45"/>
    </row>
    <row r="13" spans="2:10" ht="20" customHeight="1" x14ac:dyDescent="0.35">
      <c r="B13" s="12" t="s">
        <v>36</v>
      </c>
      <c r="C13" s="10" t="s">
        <v>12</v>
      </c>
      <c r="D13" s="47">
        <v>0.01</v>
      </c>
      <c r="E13" s="45"/>
    </row>
    <row r="14" spans="2:10" ht="20" customHeight="1" x14ac:dyDescent="0.35">
      <c r="B14" s="12" t="s">
        <v>5</v>
      </c>
      <c r="C14" s="10" t="s">
        <v>12</v>
      </c>
      <c r="D14" s="47">
        <v>0.25</v>
      </c>
      <c r="E14" s="45"/>
    </row>
    <row r="15" spans="2:10" ht="20" customHeight="1" x14ac:dyDescent="0.35">
      <c r="B15" s="42" t="s">
        <v>37</v>
      </c>
      <c r="C15" s="43" t="s">
        <v>20</v>
      </c>
      <c r="D15" s="48">
        <v>30</v>
      </c>
      <c r="E15" s="45"/>
    </row>
    <row r="16" spans="2:10" ht="20" customHeight="1" x14ac:dyDescent="0.35">
      <c r="B16" s="42" t="s">
        <v>38</v>
      </c>
      <c r="C16" s="43" t="s">
        <v>21</v>
      </c>
      <c r="D16" s="48">
        <v>45</v>
      </c>
      <c r="E16" s="45"/>
      <c r="F16" s="33"/>
      <c r="G16" s="44"/>
      <c r="H16" s="34"/>
      <c r="I16" s="32"/>
      <c r="J16" s="32"/>
    </row>
    <row r="17" spans="2:10" ht="20" customHeight="1" thickBot="1" x14ac:dyDescent="0.4">
      <c r="B17" s="49" t="s">
        <v>39</v>
      </c>
      <c r="C17" s="50" t="s">
        <v>21</v>
      </c>
      <c r="D17" s="51">
        <v>60</v>
      </c>
      <c r="E17" s="45"/>
      <c r="I17" s="32"/>
      <c r="J17" s="32"/>
    </row>
    <row r="18" spans="2:10" x14ac:dyDescent="0.35">
      <c r="B18" s="9"/>
      <c r="C18" s="9"/>
      <c r="D18" s="9"/>
      <c r="E18" s="9"/>
      <c r="F18" s="9"/>
      <c r="G18" s="9"/>
      <c r="H18" s="9"/>
      <c r="I18" s="9"/>
      <c r="J18" s="9"/>
    </row>
    <row r="19" spans="2:10" s="20" customFormat="1" ht="25" customHeight="1" x14ac:dyDescent="0.35">
      <c r="B19" s="21" t="s">
        <v>31</v>
      </c>
      <c r="C19" s="21"/>
      <c r="D19" s="21"/>
      <c r="E19" s="21"/>
      <c r="F19" s="22"/>
      <c r="G19" s="23"/>
      <c r="H19" s="21"/>
      <c r="I19" s="21"/>
      <c r="J19" s="21"/>
    </row>
    <row r="20" spans="2:10" s="72" customFormat="1" ht="20" customHeight="1" x14ac:dyDescent="0.35">
      <c r="B20" s="69"/>
      <c r="C20" s="70">
        <f>D20-1</f>
        <v>2022</v>
      </c>
      <c r="D20" s="70">
        <f>E20-1</f>
        <v>2023</v>
      </c>
      <c r="E20" s="70">
        <f>F20-1</f>
        <v>2024</v>
      </c>
      <c r="F20" s="71">
        <f>'DCF Valuation Model - BLANK'!D12</f>
        <v>2025</v>
      </c>
      <c r="G20" s="71">
        <f>F20+1</f>
        <v>2026</v>
      </c>
      <c r="H20" s="71">
        <f>G20+1</f>
        <v>2027</v>
      </c>
      <c r="I20" s="71">
        <f>H20+1</f>
        <v>2028</v>
      </c>
      <c r="J20" s="71">
        <f>I20+1</f>
        <v>2029</v>
      </c>
    </row>
    <row r="21" spans="2:10" ht="20" customHeight="1" thickBot="1" x14ac:dyDescent="0.4">
      <c r="B21" s="181" t="s">
        <v>60</v>
      </c>
      <c r="C21" s="191">
        <v>1</v>
      </c>
      <c r="D21" s="191">
        <v>1</v>
      </c>
      <c r="E21" s="191">
        <v>1</v>
      </c>
      <c r="F21" s="108">
        <f>E21*(1+F22)</f>
        <v>1.01</v>
      </c>
      <c r="G21" s="108">
        <f>F21*(1+G22)</f>
        <v>1.0201</v>
      </c>
      <c r="H21" s="108">
        <f>G21*(1+H22)</f>
        <v>1.0303009999999999</v>
      </c>
      <c r="I21" s="108">
        <f>H21*(1+I22)</f>
        <v>1.04060401</v>
      </c>
      <c r="J21" s="111">
        <f>I21*(1+J22)</f>
        <v>1.0510100500999999</v>
      </c>
    </row>
    <row r="22" spans="2:10" ht="20" customHeight="1" thickBot="1" x14ac:dyDescent="0.4">
      <c r="B22" s="182" t="s">
        <v>61</v>
      </c>
      <c r="C22" s="190"/>
      <c r="D22" s="189">
        <f>D21/C21-1</f>
        <v>0</v>
      </c>
      <c r="E22" s="189">
        <f>E21/D21-1</f>
        <v>0</v>
      </c>
      <c r="F22" s="192">
        <v>0.01</v>
      </c>
      <c r="G22" s="192">
        <v>0.01</v>
      </c>
      <c r="H22" s="192">
        <v>0.01</v>
      </c>
      <c r="I22" s="192">
        <v>0.01</v>
      </c>
      <c r="J22" s="193">
        <v>0.01</v>
      </c>
    </row>
    <row r="23" spans="2:10" x14ac:dyDescent="0.35">
      <c r="B23" s="158"/>
      <c r="C23" s="32"/>
      <c r="D23" s="32"/>
      <c r="E23" s="32"/>
      <c r="F23" s="27"/>
      <c r="G23" s="27"/>
      <c r="H23" s="27"/>
      <c r="I23" s="27"/>
      <c r="J23" s="27"/>
    </row>
    <row r="24" spans="2:10" ht="20" customHeight="1" thickBot="1" x14ac:dyDescent="0.4">
      <c r="B24" s="49" t="s">
        <v>22</v>
      </c>
      <c r="C24" s="194">
        <v>1</v>
      </c>
      <c r="D24" s="194">
        <v>1</v>
      </c>
      <c r="E24" s="194">
        <v>1</v>
      </c>
      <c r="F24" s="97">
        <f>-(F21-F25)</f>
        <v>-0.99990000000000001</v>
      </c>
      <c r="G24" s="97">
        <f>-(G21-G25)</f>
        <v>-1.0098990000000001</v>
      </c>
      <c r="H24" s="97">
        <f>-(H21-H25)</f>
        <v>-1.01999799</v>
      </c>
      <c r="I24" s="97">
        <f>-(I21-I25)</f>
        <v>-1.0301979699000001</v>
      </c>
      <c r="J24" s="109">
        <f>-(J21-J25)</f>
        <v>-1.0404999495989999</v>
      </c>
    </row>
    <row r="25" spans="2:10" ht="20" customHeight="1" thickBot="1" x14ac:dyDescent="0.4">
      <c r="B25" s="49" t="s">
        <v>62</v>
      </c>
      <c r="C25" s="97">
        <f>C21+C24</f>
        <v>2</v>
      </c>
      <c r="D25" s="97">
        <f>D21+D24</f>
        <v>2</v>
      </c>
      <c r="E25" s="97">
        <f>E21+E24</f>
        <v>2</v>
      </c>
      <c r="F25" s="97">
        <f>F21*F26</f>
        <v>1.01E-2</v>
      </c>
      <c r="G25" s="97">
        <f>G21*G26</f>
        <v>1.0201E-2</v>
      </c>
      <c r="H25" s="97">
        <f>H21*H26</f>
        <v>1.030301E-2</v>
      </c>
      <c r="I25" s="97">
        <f>I21*I26</f>
        <v>1.04060401E-2</v>
      </c>
      <c r="J25" s="109">
        <f>J21*J26</f>
        <v>1.0510100501E-2</v>
      </c>
    </row>
    <row r="26" spans="2:10" ht="20" customHeight="1" thickBot="1" x14ac:dyDescent="0.4">
      <c r="B26" s="182" t="s">
        <v>12</v>
      </c>
      <c r="C26" s="185">
        <f>IF(ISERR(C25/C$21),"NA",C25/C$21)</f>
        <v>2</v>
      </c>
      <c r="D26" s="185">
        <f>IF(ISERR(D25/D$21),"NA",D25/D$21)</f>
        <v>2</v>
      </c>
      <c r="E26" s="185">
        <f>IF(ISERR(E25/E$21),"NA",E25/E$21)</f>
        <v>2</v>
      </c>
      <c r="F26" s="198">
        <v>0.01</v>
      </c>
      <c r="G26" s="231">
        <f>F26</f>
        <v>0.01</v>
      </c>
      <c r="H26" s="231">
        <f>G26</f>
        <v>0.01</v>
      </c>
      <c r="I26" s="231">
        <f>H26</f>
        <v>0.01</v>
      </c>
      <c r="J26" s="232">
        <f>I26</f>
        <v>0.01</v>
      </c>
    </row>
    <row r="27" spans="2:10" x14ac:dyDescent="0.35">
      <c r="B27" s="158"/>
      <c r="C27" s="32"/>
      <c r="D27" s="32"/>
      <c r="E27" s="32"/>
      <c r="F27" s="27"/>
      <c r="G27" s="27"/>
      <c r="H27" s="27"/>
      <c r="I27" s="27"/>
      <c r="J27" s="27"/>
    </row>
    <row r="28" spans="2:10" ht="20" customHeight="1" x14ac:dyDescent="0.35">
      <c r="B28" s="42" t="s">
        <v>63</v>
      </c>
      <c r="C28" s="195">
        <v>-1</v>
      </c>
      <c r="D28" s="195">
        <v>-1</v>
      </c>
      <c r="E28" s="233">
        <v>-1</v>
      </c>
      <c r="F28" s="195">
        <v>-1</v>
      </c>
      <c r="G28" s="195">
        <v>-1</v>
      </c>
      <c r="H28" s="195">
        <v>-1</v>
      </c>
      <c r="I28" s="195">
        <v>-1</v>
      </c>
      <c r="J28" s="196">
        <v>-1</v>
      </c>
    </row>
    <row r="29" spans="2:10" ht="20" customHeight="1" x14ac:dyDescent="0.35">
      <c r="B29" s="42" t="s">
        <v>64</v>
      </c>
      <c r="C29" s="195">
        <v>-1</v>
      </c>
      <c r="D29" s="195">
        <v>-1</v>
      </c>
      <c r="E29" s="195">
        <v>-1</v>
      </c>
      <c r="F29" s="195">
        <v>-1</v>
      </c>
      <c r="G29" s="195">
        <v>-1</v>
      </c>
      <c r="H29" s="195">
        <v>-1</v>
      </c>
      <c r="I29" s="195">
        <v>-1</v>
      </c>
      <c r="J29" s="196">
        <v>-1</v>
      </c>
    </row>
    <row r="30" spans="2:10" ht="20" customHeight="1" x14ac:dyDescent="0.35">
      <c r="B30" s="42" t="s">
        <v>65</v>
      </c>
      <c r="C30" s="195">
        <v>-1</v>
      </c>
      <c r="D30" s="195">
        <v>-1</v>
      </c>
      <c r="E30" s="195">
        <v>-1</v>
      </c>
      <c r="F30" s="195">
        <v>-1</v>
      </c>
      <c r="G30" s="195">
        <v>-1</v>
      </c>
      <c r="H30" s="195">
        <v>-1</v>
      </c>
      <c r="I30" s="195">
        <v>-1</v>
      </c>
      <c r="J30" s="196">
        <v>-1</v>
      </c>
    </row>
    <row r="31" spans="2:10" ht="20" customHeight="1" thickBot="1" x14ac:dyDescent="0.4">
      <c r="B31" s="49" t="s">
        <v>23</v>
      </c>
      <c r="C31" s="97">
        <f t="shared" ref="C31:J31" si="0">SUM(C28:C30)</f>
        <v>-3</v>
      </c>
      <c r="D31" s="97">
        <f t="shared" si="0"/>
        <v>-3</v>
      </c>
      <c r="E31" s="97">
        <f t="shared" si="0"/>
        <v>-3</v>
      </c>
      <c r="F31" s="97">
        <f t="shared" si="0"/>
        <v>-3</v>
      </c>
      <c r="G31" s="97">
        <f t="shared" si="0"/>
        <v>-3</v>
      </c>
      <c r="H31" s="97">
        <f t="shared" si="0"/>
        <v>-3</v>
      </c>
      <c r="I31" s="97">
        <f t="shared" si="0"/>
        <v>-3</v>
      </c>
      <c r="J31" s="109">
        <f t="shared" si="0"/>
        <v>-3</v>
      </c>
    </row>
    <row r="32" spans="2:10" ht="20" customHeight="1" thickBot="1" x14ac:dyDescent="0.4">
      <c r="B32" s="181" t="s">
        <v>24</v>
      </c>
      <c r="C32" s="108">
        <f t="shared" ref="C32:J32" si="1">C25+C31</f>
        <v>-1</v>
      </c>
      <c r="D32" s="108">
        <f t="shared" si="1"/>
        <v>-1</v>
      </c>
      <c r="E32" s="108">
        <f t="shared" si="1"/>
        <v>-1</v>
      </c>
      <c r="F32" s="108">
        <f t="shared" si="1"/>
        <v>-2.9899</v>
      </c>
      <c r="G32" s="108">
        <f t="shared" si="1"/>
        <v>-2.9897990000000001</v>
      </c>
      <c r="H32" s="108">
        <f t="shared" si="1"/>
        <v>-2.9896969900000001</v>
      </c>
      <c r="I32" s="108">
        <f t="shared" si="1"/>
        <v>-2.9895939599000001</v>
      </c>
      <c r="J32" s="111">
        <f t="shared" si="1"/>
        <v>-2.989489899499</v>
      </c>
    </row>
    <row r="33" spans="2:10" ht="20" customHeight="1" thickBot="1" x14ac:dyDescent="0.4">
      <c r="B33" s="182" t="s">
        <v>12</v>
      </c>
      <c r="C33" s="185">
        <f t="shared" ref="C33:J33" si="2">IF(ISERR(C32/C$21),"NA",C32/C$21)</f>
        <v>-1</v>
      </c>
      <c r="D33" s="185">
        <f t="shared" si="2"/>
        <v>-1</v>
      </c>
      <c r="E33" s="185">
        <f t="shared" si="2"/>
        <v>-1</v>
      </c>
      <c r="F33" s="185">
        <f t="shared" si="2"/>
        <v>-2.9602970297029705</v>
      </c>
      <c r="G33" s="185">
        <f t="shared" si="2"/>
        <v>-2.9308881482207627</v>
      </c>
      <c r="H33" s="185">
        <f t="shared" si="2"/>
        <v>-2.9017704437829335</v>
      </c>
      <c r="I33" s="185">
        <f t="shared" si="2"/>
        <v>-2.8729410334484489</v>
      </c>
      <c r="J33" s="186">
        <f t="shared" si="2"/>
        <v>-2.8443970628202466</v>
      </c>
    </row>
    <row r="34" spans="2:10" x14ac:dyDescent="0.35">
      <c r="B34" s="180"/>
      <c r="C34" s="38"/>
      <c r="D34" s="38"/>
      <c r="E34" s="38"/>
      <c r="F34" s="39"/>
      <c r="G34" s="39"/>
      <c r="H34" s="39"/>
      <c r="I34" s="39"/>
      <c r="J34" s="39"/>
    </row>
    <row r="35" spans="2:10" ht="20" customHeight="1" x14ac:dyDescent="0.35">
      <c r="B35" s="42" t="s">
        <v>66</v>
      </c>
      <c r="C35" s="195">
        <v>-1</v>
      </c>
      <c r="D35" s="195">
        <v>-1</v>
      </c>
      <c r="E35" s="195">
        <v>-1</v>
      </c>
      <c r="F35" s="92">
        <f>-F105</f>
        <v>-0.05</v>
      </c>
      <c r="G35" s="92">
        <f>-G105</f>
        <v>-0.1</v>
      </c>
      <c r="H35" s="92">
        <f>-H105</f>
        <v>-0.15000000000000002</v>
      </c>
      <c r="I35" s="92">
        <f>-I105</f>
        <v>-0.2</v>
      </c>
      <c r="J35" s="184">
        <f>-J105</f>
        <v>-1</v>
      </c>
    </row>
    <row r="36" spans="2:10" ht="20" customHeight="1" thickBot="1" x14ac:dyDescent="0.4">
      <c r="B36" s="181" t="s">
        <v>3</v>
      </c>
      <c r="C36" s="108">
        <f t="shared" ref="C36:J36" si="3">C32+SUM(C35:C35)</f>
        <v>-2</v>
      </c>
      <c r="D36" s="108">
        <f t="shared" si="3"/>
        <v>-2</v>
      </c>
      <c r="E36" s="108">
        <f t="shared" si="3"/>
        <v>-2</v>
      </c>
      <c r="F36" s="108">
        <f t="shared" si="3"/>
        <v>-3.0398999999999998</v>
      </c>
      <c r="G36" s="108">
        <f t="shared" si="3"/>
        <v>-3.0897990000000002</v>
      </c>
      <c r="H36" s="108">
        <f t="shared" si="3"/>
        <v>-3.13969699</v>
      </c>
      <c r="I36" s="108">
        <f t="shared" si="3"/>
        <v>-3.1895939599000003</v>
      </c>
      <c r="J36" s="111">
        <f t="shared" si="3"/>
        <v>-3.989489899499</v>
      </c>
    </row>
    <row r="37" spans="2:10" ht="20" customHeight="1" thickBot="1" x14ac:dyDescent="0.4">
      <c r="B37" s="182" t="s">
        <v>12</v>
      </c>
      <c r="C37" s="185">
        <f t="shared" ref="C37:J37" si="4">IF(ISERR(C36/C$21),"NA",C36/C$21)</f>
        <v>-2</v>
      </c>
      <c r="D37" s="185">
        <f t="shared" si="4"/>
        <v>-2</v>
      </c>
      <c r="E37" s="185">
        <f t="shared" si="4"/>
        <v>-2</v>
      </c>
      <c r="F37" s="185">
        <f t="shared" si="4"/>
        <v>-3.0098019801980196</v>
      </c>
      <c r="G37" s="185">
        <f t="shared" si="4"/>
        <v>-3.0289177531614548</v>
      </c>
      <c r="H37" s="185">
        <f t="shared" si="4"/>
        <v>-3.0473589659720801</v>
      </c>
      <c r="I37" s="185">
        <f t="shared" si="4"/>
        <v>-3.0651371023450125</v>
      </c>
      <c r="J37" s="186">
        <f t="shared" si="4"/>
        <v>-3.7958627504269953</v>
      </c>
    </row>
    <row r="38" spans="2:10" x14ac:dyDescent="0.35">
      <c r="B38" s="180"/>
      <c r="C38" s="32"/>
      <c r="D38" s="32"/>
      <c r="E38" s="32"/>
      <c r="F38" s="39"/>
      <c r="G38" s="39"/>
      <c r="H38" s="39"/>
      <c r="I38" s="39"/>
      <c r="J38" s="39"/>
    </row>
    <row r="39" spans="2:10" ht="20" customHeight="1" x14ac:dyDescent="0.35">
      <c r="B39" s="42" t="s">
        <v>105</v>
      </c>
      <c r="C39" s="195">
        <v>-1</v>
      </c>
      <c r="D39" s="195">
        <v>-1</v>
      </c>
      <c r="E39" s="195">
        <v>-1</v>
      </c>
      <c r="F39" s="92">
        <f>-AVERAGE(E58:F58)*F40</f>
        <v>-0.01</v>
      </c>
      <c r="G39" s="92">
        <f>-AVERAGE(F58:G58)*'DCF Valuation Model - BLANK'!$D$13</f>
        <v>-1.4999999999999999E-2</v>
      </c>
      <c r="H39" s="92">
        <f>-AVERAGE(G58:H58)*'DCF Valuation Model - BLANK'!$D$13</f>
        <v>-2.5000000000000001E-2</v>
      </c>
      <c r="I39" s="92">
        <f>-AVERAGE(H58:I58)*'DCF Valuation Model - BLANK'!$D$13</f>
        <v>-3.5000000000000003E-2</v>
      </c>
      <c r="J39" s="184">
        <f>-AVERAGE(I58:J58)*'DCF Valuation Model - BLANK'!$D$13</f>
        <v>-4.4999999999999998E-2</v>
      </c>
    </row>
    <row r="40" spans="2:10" ht="20" customHeight="1" x14ac:dyDescent="0.35">
      <c r="B40" s="42" t="s">
        <v>36</v>
      </c>
      <c r="C40" s="183"/>
      <c r="D40" s="183"/>
      <c r="E40" s="183"/>
      <c r="F40" s="197">
        <v>0.01</v>
      </c>
      <c r="G40" s="234">
        <f>F40</f>
        <v>0.01</v>
      </c>
      <c r="H40" s="234">
        <f>G40</f>
        <v>0.01</v>
      </c>
      <c r="I40" s="234">
        <f>H40</f>
        <v>0.01</v>
      </c>
      <c r="J40" s="235">
        <f>I40</f>
        <v>0.01</v>
      </c>
    </row>
    <row r="41" spans="2:10" ht="20" customHeight="1" thickBot="1" x14ac:dyDescent="0.4">
      <c r="B41" s="181" t="s">
        <v>25</v>
      </c>
      <c r="C41" s="108">
        <f t="shared" ref="C41:J41" si="5">C36+C39</f>
        <v>-3</v>
      </c>
      <c r="D41" s="108">
        <f t="shared" si="5"/>
        <v>-3</v>
      </c>
      <c r="E41" s="108">
        <f t="shared" si="5"/>
        <v>-3</v>
      </c>
      <c r="F41" s="108">
        <f t="shared" si="5"/>
        <v>-3.0498999999999996</v>
      </c>
      <c r="G41" s="108">
        <f t="shared" si="5"/>
        <v>-3.1047990000000003</v>
      </c>
      <c r="H41" s="108">
        <f t="shared" si="5"/>
        <v>-3.1646969899999999</v>
      </c>
      <c r="I41" s="108">
        <f t="shared" si="5"/>
        <v>-3.2245939599000004</v>
      </c>
      <c r="J41" s="111">
        <f t="shared" si="5"/>
        <v>-4.0344898994990004</v>
      </c>
    </row>
    <row r="42" spans="2:10" ht="20" customHeight="1" thickBot="1" x14ac:dyDescent="0.4">
      <c r="B42" s="182" t="s">
        <v>12</v>
      </c>
      <c r="C42" s="185">
        <f t="shared" ref="C42:J42" si="6">IF(ISERR(C41/C$21),"NA",C41/C$21)</f>
        <v>-3</v>
      </c>
      <c r="D42" s="185">
        <f t="shared" si="6"/>
        <v>-3</v>
      </c>
      <c r="E42" s="185">
        <f t="shared" si="6"/>
        <v>-3</v>
      </c>
      <c r="F42" s="185">
        <f t="shared" si="6"/>
        <v>-3.0197029702970295</v>
      </c>
      <c r="G42" s="185">
        <f t="shared" si="6"/>
        <v>-3.0436221939025589</v>
      </c>
      <c r="H42" s="185">
        <f t="shared" si="6"/>
        <v>-3.0716237196702711</v>
      </c>
      <c r="I42" s="185">
        <f t="shared" si="6"/>
        <v>-3.0987714144019112</v>
      </c>
      <c r="J42" s="186">
        <f t="shared" si="6"/>
        <v>-3.8386787063692993</v>
      </c>
    </row>
    <row r="43" spans="2:10" x14ac:dyDescent="0.35">
      <c r="B43" s="158"/>
      <c r="C43" s="32"/>
      <c r="D43" s="32"/>
      <c r="E43" s="32"/>
      <c r="F43" s="32"/>
      <c r="G43" s="32"/>
      <c r="H43" s="32"/>
      <c r="I43" s="32"/>
      <c r="J43" s="32"/>
    </row>
    <row r="44" spans="2:10" ht="20" customHeight="1" x14ac:dyDescent="0.35">
      <c r="B44" s="42" t="s">
        <v>5</v>
      </c>
      <c r="C44" s="187">
        <f>-C45/C41</f>
        <v>-0.33333333333333331</v>
      </c>
      <c r="D44" s="187">
        <f>-D45/D41</f>
        <v>-0.33333333333333331</v>
      </c>
      <c r="E44" s="187">
        <f>-E45/E41</f>
        <v>-0.33333333333333331</v>
      </c>
      <c r="F44" s="187">
        <f>'DCF Valuation Model - BLANK'!D14</f>
        <v>0.25</v>
      </c>
      <c r="G44" s="187">
        <f>F44</f>
        <v>0.25</v>
      </c>
      <c r="H44" s="187">
        <f>G44</f>
        <v>0.25</v>
      </c>
      <c r="I44" s="187">
        <f>H44</f>
        <v>0.25</v>
      </c>
      <c r="J44" s="188">
        <f>I44</f>
        <v>0.25</v>
      </c>
    </row>
    <row r="45" spans="2:10" ht="20" customHeight="1" x14ac:dyDescent="0.35">
      <c r="B45" s="42" t="s">
        <v>67</v>
      </c>
      <c r="C45" s="195">
        <v>-1</v>
      </c>
      <c r="D45" s="195">
        <v>-1</v>
      </c>
      <c r="E45" s="195">
        <v>-1</v>
      </c>
      <c r="F45" s="83">
        <f>IF(F41&gt;0,-F41*F44,0)</f>
        <v>0</v>
      </c>
      <c r="G45" s="83">
        <f>IF(G41&gt;0,-G41*G44,0)</f>
        <v>0</v>
      </c>
      <c r="H45" s="83">
        <f>IF(H41&gt;0,-H41*H44,0)</f>
        <v>0</v>
      </c>
      <c r="I45" s="83">
        <f>IF(I41&gt;0,-I41*I44,0)</f>
        <v>0</v>
      </c>
      <c r="J45" s="87">
        <f>IF(J41&gt;0,-J41*J44,0)</f>
        <v>0</v>
      </c>
    </row>
    <row r="46" spans="2:10" ht="20" customHeight="1" thickBot="1" x14ac:dyDescent="0.4">
      <c r="B46" s="181" t="s">
        <v>68</v>
      </c>
      <c r="C46" s="108">
        <f t="shared" ref="C46:J46" si="7">C41+C45</f>
        <v>-4</v>
      </c>
      <c r="D46" s="108">
        <f t="shared" si="7"/>
        <v>-4</v>
      </c>
      <c r="E46" s="108">
        <f t="shared" si="7"/>
        <v>-4</v>
      </c>
      <c r="F46" s="108">
        <f t="shared" si="7"/>
        <v>-3.0498999999999996</v>
      </c>
      <c r="G46" s="108">
        <f t="shared" si="7"/>
        <v>-3.1047990000000003</v>
      </c>
      <c r="H46" s="108">
        <f t="shared" si="7"/>
        <v>-3.1646969899999999</v>
      </c>
      <c r="I46" s="108">
        <f t="shared" si="7"/>
        <v>-3.2245939599000004</v>
      </c>
      <c r="J46" s="111">
        <f t="shared" si="7"/>
        <v>-4.0344898994990004</v>
      </c>
    </row>
    <row r="47" spans="2:10" ht="20" customHeight="1" thickBot="1" x14ac:dyDescent="0.4">
      <c r="B47" s="182" t="s">
        <v>12</v>
      </c>
      <c r="C47" s="185">
        <f t="shared" ref="C47:J47" si="8">IF(ISERR(C46/C$21),"NA",C46/C$21)</f>
        <v>-4</v>
      </c>
      <c r="D47" s="185">
        <f t="shared" si="8"/>
        <v>-4</v>
      </c>
      <c r="E47" s="185">
        <f t="shared" si="8"/>
        <v>-4</v>
      </c>
      <c r="F47" s="185">
        <f t="shared" si="8"/>
        <v>-3.0197029702970295</v>
      </c>
      <c r="G47" s="185">
        <f t="shared" si="8"/>
        <v>-3.0436221939025589</v>
      </c>
      <c r="H47" s="185">
        <f t="shared" si="8"/>
        <v>-3.0716237196702711</v>
      </c>
      <c r="I47" s="185">
        <f t="shared" si="8"/>
        <v>-3.0987714144019112</v>
      </c>
      <c r="J47" s="186">
        <f t="shared" si="8"/>
        <v>-3.8386787063692993</v>
      </c>
    </row>
    <row r="48" spans="2:10" x14ac:dyDescent="0.35">
      <c r="B48" s="32"/>
      <c r="C48" s="32"/>
      <c r="D48" s="32"/>
      <c r="E48" s="32"/>
      <c r="F48" s="40"/>
      <c r="G48" s="40"/>
      <c r="H48" s="40"/>
      <c r="I48" s="40"/>
      <c r="J48" s="40"/>
    </row>
    <row r="49" spans="2:10" s="20" customFormat="1" ht="25" customHeight="1" x14ac:dyDescent="0.35">
      <c r="B49" s="20" t="s">
        <v>30</v>
      </c>
      <c r="F49" s="24"/>
      <c r="G49" s="24"/>
      <c r="H49" s="24"/>
      <c r="I49" s="24"/>
      <c r="J49" s="24"/>
    </row>
    <row r="50" spans="2:10" s="72" customFormat="1" ht="20" customHeight="1" x14ac:dyDescent="0.35">
      <c r="B50" s="69"/>
      <c r="C50" s="73">
        <f>D50-1</f>
        <v>2022</v>
      </c>
      <c r="D50" s="73">
        <f>E50-1</f>
        <v>2023</v>
      </c>
      <c r="E50" s="73">
        <f t="shared" ref="E50:J50" si="9">E$20</f>
        <v>2024</v>
      </c>
      <c r="F50" s="74">
        <f t="shared" si="9"/>
        <v>2025</v>
      </c>
      <c r="G50" s="74">
        <f t="shared" si="9"/>
        <v>2026</v>
      </c>
      <c r="H50" s="74">
        <f t="shared" si="9"/>
        <v>2027</v>
      </c>
      <c r="I50" s="74">
        <f t="shared" si="9"/>
        <v>2028</v>
      </c>
      <c r="J50" s="74">
        <f t="shared" si="9"/>
        <v>2029</v>
      </c>
    </row>
    <row r="51" spans="2:10" ht="20" customHeight="1" x14ac:dyDescent="0.35">
      <c r="B51" s="60" t="s">
        <v>6</v>
      </c>
      <c r="C51" s="195">
        <v>1</v>
      </c>
      <c r="D51" s="200">
        <f>D87</f>
        <v>-3</v>
      </c>
      <c r="E51" s="200">
        <f t="shared" ref="E51:J51" si="10">E87</f>
        <v>-7</v>
      </c>
      <c r="F51" s="200">
        <f t="shared" si="10"/>
        <v>-10.041821917808219</v>
      </c>
      <c r="G51" s="200">
        <f t="shared" si="10"/>
        <v>-13.047040136986302</v>
      </c>
      <c r="H51" s="200">
        <f t="shared" si="10"/>
        <v>-16.062160538356164</v>
      </c>
      <c r="I51" s="200">
        <f t="shared" si="10"/>
        <v>-19.087182143739724</v>
      </c>
      <c r="J51" s="202">
        <f t="shared" si="10"/>
        <v>-22.122103965177121</v>
      </c>
    </row>
    <row r="52" spans="2:10" ht="20" customHeight="1" x14ac:dyDescent="0.35">
      <c r="B52" s="60" t="s">
        <v>79</v>
      </c>
      <c r="C52" s="195">
        <v>1</v>
      </c>
      <c r="D52" s="195">
        <v>1</v>
      </c>
      <c r="E52" s="195">
        <v>1</v>
      </c>
      <c r="F52" s="200">
        <f>'DCF Valuation Model - BLANK'!$D15/365*'DCF Valuation Model - BLANK'!F21</f>
        <v>8.3013698630136981E-2</v>
      </c>
      <c r="G52" s="200">
        <f>'DCF Valuation Model - BLANK'!$D$15/365*'DCF Valuation Model - BLANK'!G21</f>
        <v>8.384383561643835E-2</v>
      </c>
      <c r="H52" s="200">
        <f>'DCF Valuation Model - BLANK'!$D$15/365*'DCF Valuation Model - BLANK'!H21</f>
        <v>8.4682273972602723E-2</v>
      </c>
      <c r="I52" s="200">
        <f>'DCF Valuation Model - BLANK'!$D$15/365*'DCF Valuation Model - BLANK'!I21</f>
        <v>8.5529096712328764E-2</v>
      </c>
      <c r="J52" s="202">
        <f>'DCF Valuation Model - BLANK'!$D$15/365*'DCF Valuation Model - BLANK'!J21</f>
        <v>8.6384387679452043E-2</v>
      </c>
    </row>
    <row r="53" spans="2:10" ht="20" customHeight="1" x14ac:dyDescent="0.35">
      <c r="B53" s="60" t="s">
        <v>80</v>
      </c>
      <c r="C53" s="195">
        <v>1</v>
      </c>
      <c r="D53" s="195">
        <v>1</v>
      </c>
      <c r="E53" s="195">
        <v>1</v>
      </c>
      <c r="F53" s="200">
        <f>-'DCF Valuation Model - BLANK'!$D16/365*'DCF Valuation Model - BLANK'!F24</f>
        <v>0.12327534246575342</v>
      </c>
      <c r="G53" s="200">
        <f>-'DCF Valuation Model - BLANK'!$D16/365*'DCF Valuation Model - BLANK'!G24</f>
        <v>0.12450809589041097</v>
      </c>
      <c r="H53" s="200">
        <f>-'DCF Valuation Model - BLANK'!$D16/365*'DCF Valuation Model - BLANK'!H24</f>
        <v>0.12575317684931506</v>
      </c>
      <c r="I53" s="200">
        <f>-'DCF Valuation Model - BLANK'!$D16/365*'DCF Valuation Model - BLANK'!I24</f>
        <v>0.12701070861780822</v>
      </c>
      <c r="J53" s="202">
        <f>-'DCF Valuation Model - BLANK'!$D16/365*'DCF Valuation Model - BLANK'!J24</f>
        <v>0.12828081570398628</v>
      </c>
    </row>
    <row r="54" spans="2:10" ht="20" customHeight="1" x14ac:dyDescent="0.35">
      <c r="B54" s="60" t="s">
        <v>81</v>
      </c>
      <c r="C54" s="195">
        <v>1</v>
      </c>
      <c r="D54" s="195">
        <v>1</v>
      </c>
      <c r="E54" s="195">
        <v>1</v>
      </c>
      <c r="F54" s="200">
        <f>F109</f>
        <v>1.95</v>
      </c>
      <c r="G54" s="200">
        <f>G109</f>
        <v>2.85</v>
      </c>
      <c r="H54" s="200">
        <f>H109</f>
        <v>3.7</v>
      </c>
      <c r="I54" s="200">
        <f>I109</f>
        <v>4.5</v>
      </c>
      <c r="J54" s="202">
        <f>J109</f>
        <v>4.5</v>
      </c>
    </row>
    <row r="55" spans="2:10" ht="20" customHeight="1" thickBot="1" x14ac:dyDescent="0.4">
      <c r="B55" s="207" t="s">
        <v>82</v>
      </c>
      <c r="C55" s="208">
        <f t="shared" ref="C55:J55" si="11">SUM(C51:C54)</f>
        <v>4</v>
      </c>
      <c r="D55" s="208">
        <f t="shared" si="11"/>
        <v>0</v>
      </c>
      <c r="E55" s="208">
        <f t="shared" si="11"/>
        <v>-4</v>
      </c>
      <c r="F55" s="208">
        <f t="shared" si="11"/>
        <v>-7.8855328767123298</v>
      </c>
      <c r="G55" s="208">
        <f t="shared" si="11"/>
        <v>-9.9886882054794537</v>
      </c>
      <c r="H55" s="208">
        <f t="shared" si="11"/>
        <v>-12.151725087534246</v>
      </c>
      <c r="I55" s="208">
        <f t="shared" si="11"/>
        <v>-14.37464233840959</v>
      </c>
      <c r="J55" s="209">
        <f t="shared" si="11"/>
        <v>-17.407438761793685</v>
      </c>
    </row>
    <row r="56" spans="2:10" ht="20" customHeight="1" x14ac:dyDescent="0.35">
      <c r="B56" s="158"/>
      <c r="C56" s="41"/>
      <c r="D56" s="41"/>
      <c r="E56" s="41"/>
      <c r="F56" s="41"/>
      <c r="G56" s="41"/>
      <c r="H56" s="41"/>
      <c r="I56" s="41"/>
      <c r="J56" s="41"/>
    </row>
    <row r="57" spans="2:10" ht="20" customHeight="1" x14ac:dyDescent="0.35">
      <c r="B57" s="60" t="s">
        <v>83</v>
      </c>
      <c r="C57" s="195">
        <v>1</v>
      </c>
      <c r="D57" s="195">
        <v>1</v>
      </c>
      <c r="E57" s="195">
        <v>1</v>
      </c>
      <c r="F57" s="200">
        <f>-'DCF Valuation Model - BLANK'!$D17/365*'DCF Valuation Model - BLANK'!F24</f>
        <v>0.16436712328767122</v>
      </c>
      <c r="G57" s="200">
        <f>-'DCF Valuation Model - BLANK'!$D17/365*'DCF Valuation Model - BLANK'!G24</f>
        <v>0.16601079452054796</v>
      </c>
      <c r="H57" s="200">
        <f>-'DCF Valuation Model - BLANK'!$D17/365*'DCF Valuation Model - BLANK'!H24</f>
        <v>0.16767090246575342</v>
      </c>
      <c r="I57" s="200">
        <f>-'DCF Valuation Model - BLANK'!$D17/365*'DCF Valuation Model - BLANK'!I24</f>
        <v>0.16934761149041097</v>
      </c>
      <c r="J57" s="202">
        <f>-'DCF Valuation Model - BLANK'!$D17/365*'DCF Valuation Model - BLANK'!J24</f>
        <v>0.17104108760531506</v>
      </c>
    </row>
    <row r="58" spans="2:10" ht="20" customHeight="1" x14ac:dyDescent="0.35">
      <c r="B58" s="60" t="s">
        <v>51</v>
      </c>
      <c r="C58" s="195">
        <v>1</v>
      </c>
      <c r="D58" s="195">
        <v>1</v>
      </c>
      <c r="E58" s="195">
        <v>1</v>
      </c>
      <c r="F58" s="195">
        <v>1</v>
      </c>
      <c r="G58" s="201">
        <f>F58+G78</f>
        <v>2</v>
      </c>
      <c r="H58" s="201">
        <f>G58+H78</f>
        <v>3</v>
      </c>
      <c r="I58" s="201">
        <f>H58+I78</f>
        <v>4</v>
      </c>
      <c r="J58" s="203">
        <f>I58+J78</f>
        <v>5</v>
      </c>
    </row>
    <row r="59" spans="2:10" ht="20" customHeight="1" x14ac:dyDescent="0.35">
      <c r="B59" s="60" t="s">
        <v>84</v>
      </c>
      <c r="C59" s="199">
        <f>C55-SUM(C57:C58)</f>
        <v>2</v>
      </c>
      <c r="D59" s="199">
        <f>D55-SUM(D57:D58)</f>
        <v>-2</v>
      </c>
      <c r="E59" s="199">
        <f>E55-SUM(E57:E58)</f>
        <v>-6</v>
      </c>
      <c r="F59" s="199">
        <f>E59+F46+F80+F81</f>
        <v>-9.0498999999999992</v>
      </c>
      <c r="G59" s="199">
        <f>F59+G46+G80+G81</f>
        <v>-12.154698999999999</v>
      </c>
      <c r="H59" s="199">
        <f>G59+H46+H80+H81</f>
        <v>-15.319395989999999</v>
      </c>
      <c r="I59" s="199">
        <f>H59+I46+I80+I81</f>
        <v>-18.543989949899998</v>
      </c>
      <c r="J59" s="204">
        <f>I59+J46+J80+J81</f>
        <v>-22.578479849398999</v>
      </c>
    </row>
    <row r="60" spans="2:10" ht="20" customHeight="1" thickBot="1" x14ac:dyDescent="0.4">
      <c r="B60" s="207" t="s">
        <v>85</v>
      </c>
      <c r="C60" s="205">
        <f t="shared" ref="C60:J60" si="12">SUM(C57:C59)</f>
        <v>4</v>
      </c>
      <c r="D60" s="205">
        <f t="shared" si="12"/>
        <v>0</v>
      </c>
      <c r="E60" s="205">
        <f t="shared" si="12"/>
        <v>-4</v>
      </c>
      <c r="F60" s="205">
        <f t="shared" si="12"/>
        <v>-7.8855328767123281</v>
      </c>
      <c r="G60" s="205">
        <f t="shared" si="12"/>
        <v>-9.9886882054794519</v>
      </c>
      <c r="H60" s="205">
        <f t="shared" si="12"/>
        <v>-12.151725087534246</v>
      </c>
      <c r="I60" s="205">
        <f t="shared" si="12"/>
        <v>-14.374642338409586</v>
      </c>
      <c r="J60" s="206">
        <f t="shared" si="12"/>
        <v>-17.407438761793685</v>
      </c>
    </row>
    <row r="61" spans="2:10" x14ac:dyDescent="0.35">
      <c r="B61" s="9"/>
      <c r="C61" s="9"/>
      <c r="D61" s="9"/>
      <c r="E61" s="9"/>
      <c r="F61" s="9"/>
      <c r="G61" s="9"/>
      <c r="H61" s="9"/>
      <c r="I61" s="9"/>
      <c r="J61" s="9"/>
    </row>
    <row r="62" spans="2:10" s="20" customFormat="1" ht="25" customHeight="1" x14ac:dyDescent="0.35">
      <c r="B62" s="20" t="s">
        <v>27</v>
      </c>
    </row>
    <row r="63" spans="2:10" s="72" customFormat="1" ht="20" customHeight="1" x14ac:dyDescent="0.35">
      <c r="B63" s="75"/>
      <c r="C63" s="76">
        <f>D63-1</f>
        <v>2022</v>
      </c>
      <c r="D63" s="76">
        <f>E63-1</f>
        <v>2023</v>
      </c>
      <c r="E63" s="76">
        <f t="shared" ref="E63:J63" si="13">E$20</f>
        <v>2024</v>
      </c>
      <c r="F63" s="77">
        <f t="shared" si="13"/>
        <v>2025</v>
      </c>
      <c r="G63" s="77">
        <f t="shared" si="13"/>
        <v>2026</v>
      </c>
      <c r="H63" s="77">
        <f t="shared" si="13"/>
        <v>2027</v>
      </c>
      <c r="I63" s="77">
        <f t="shared" si="13"/>
        <v>2028</v>
      </c>
      <c r="J63" s="77">
        <f t="shared" si="13"/>
        <v>2029</v>
      </c>
    </row>
    <row r="64" spans="2:10" ht="20" customHeight="1" x14ac:dyDescent="0.35">
      <c r="B64" s="211" t="s">
        <v>86</v>
      </c>
      <c r="C64" s="38"/>
      <c r="D64" s="38"/>
      <c r="E64" s="27"/>
      <c r="F64" s="27"/>
      <c r="G64" s="27"/>
      <c r="H64" s="27"/>
      <c r="I64" s="27"/>
      <c r="J64" s="27"/>
    </row>
    <row r="65" spans="2:10" ht="20" customHeight="1" x14ac:dyDescent="0.35">
      <c r="B65" s="42" t="s">
        <v>68</v>
      </c>
      <c r="C65" s="219" t="s">
        <v>58</v>
      </c>
      <c r="D65" s="83">
        <f t="shared" ref="D65:J65" si="14">D46</f>
        <v>-4</v>
      </c>
      <c r="E65" s="83">
        <f t="shared" si="14"/>
        <v>-4</v>
      </c>
      <c r="F65" s="83">
        <f t="shared" si="14"/>
        <v>-3.0498999999999996</v>
      </c>
      <c r="G65" s="83">
        <f t="shared" si="14"/>
        <v>-3.1047990000000003</v>
      </c>
      <c r="H65" s="83">
        <f t="shared" si="14"/>
        <v>-3.1646969899999999</v>
      </c>
      <c r="I65" s="83">
        <f t="shared" si="14"/>
        <v>-3.2245939599000004</v>
      </c>
      <c r="J65" s="87">
        <f t="shared" si="14"/>
        <v>-4.0344898994990004</v>
      </c>
    </row>
    <row r="66" spans="2:10" ht="20" customHeight="1" x14ac:dyDescent="0.35">
      <c r="B66" s="42" t="s">
        <v>87</v>
      </c>
      <c r="C66" s="219" t="s">
        <v>58</v>
      </c>
      <c r="D66" s="84">
        <f t="shared" ref="D66:J66" si="15">-D39</f>
        <v>1</v>
      </c>
      <c r="E66" s="84">
        <f t="shared" si="15"/>
        <v>1</v>
      </c>
      <c r="F66" s="84">
        <f t="shared" si="15"/>
        <v>0.01</v>
      </c>
      <c r="G66" s="84">
        <f t="shared" si="15"/>
        <v>1.4999999999999999E-2</v>
      </c>
      <c r="H66" s="84">
        <f t="shared" si="15"/>
        <v>2.5000000000000001E-2</v>
      </c>
      <c r="I66" s="84">
        <f t="shared" si="15"/>
        <v>3.5000000000000003E-2</v>
      </c>
      <c r="J66" s="220">
        <f t="shared" si="15"/>
        <v>4.4999999999999998E-2</v>
      </c>
    </row>
    <row r="67" spans="2:10" ht="20" customHeight="1" x14ac:dyDescent="0.35">
      <c r="B67" s="42" t="s">
        <v>42</v>
      </c>
      <c r="C67" s="219" t="s">
        <v>58</v>
      </c>
      <c r="D67" s="84">
        <f t="shared" ref="D67:J67" si="16">-D35</f>
        <v>1</v>
      </c>
      <c r="E67" s="84">
        <f t="shared" si="16"/>
        <v>1</v>
      </c>
      <c r="F67" s="84">
        <f t="shared" si="16"/>
        <v>0.05</v>
      </c>
      <c r="G67" s="84">
        <f t="shared" si="16"/>
        <v>0.1</v>
      </c>
      <c r="H67" s="84">
        <f t="shared" si="16"/>
        <v>0.15000000000000002</v>
      </c>
      <c r="I67" s="84">
        <f t="shared" si="16"/>
        <v>0.2</v>
      </c>
      <c r="J67" s="220">
        <f t="shared" si="16"/>
        <v>1</v>
      </c>
    </row>
    <row r="68" spans="2:10" ht="20" customHeight="1" x14ac:dyDescent="0.35">
      <c r="B68" s="42" t="s">
        <v>88</v>
      </c>
      <c r="C68" s="219" t="s">
        <v>58</v>
      </c>
      <c r="D68" s="83">
        <f t="shared" ref="D68:J69" si="17">C52-D52</f>
        <v>0</v>
      </c>
      <c r="E68" s="83">
        <f t="shared" si="17"/>
        <v>0</v>
      </c>
      <c r="F68" s="83">
        <f t="shared" si="17"/>
        <v>0.91698630136986303</v>
      </c>
      <c r="G68" s="83">
        <f t="shared" si="17"/>
        <v>-8.3013698630136912E-4</v>
      </c>
      <c r="H68" s="83">
        <f t="shared" si="17"/>
        <v>-8.3843835616437268E-4</v>
      </c>
      <c r="I68" s="83">
        <f t="shared" si="17"/>
        <v>-8.4682273972604138E-4</v>
      </c>
      <c r="J68" s="87">
        <f t="shared" si="17"/>
        <v>-8.552909671232789E-4</v>
      </c>
    </row>
    <row r="69" spans="2:10" ht="20" customHeight="1" x14ac:dyDescent="0.35">
      <c r="B69" s="42" t="s">
        <v>89</v>
      </c>
      <c r="C69" s="219" t="s">
        <v>58</v>
      </c>
      <c r="D69" s="83">
        <f t="shared" si="17"/>
        <v>0</v>
      </c>
      <c r="E69" s="83">
        <f t="shared" si="17"/>
        <v>0</v>
      </c>
      <c r="F69" s="83">
        <f t="shared" si="17"/>
        <v>0.87672465753424655</v>
      </c>
      <c r="G69" s="83">
        <f t="shared" si="17"/>
        <v>-1.2327534246575483E-3</v>
      </c>
      <c r="H69" s="83">
        <f t="shared" si="17"/>
        <v>-1.2450809589040907E-3</v>
      </c>
      <c r="I69" s="83">
        <f t="shared" si="17"/>
        <v>-1.2575317684931642E-3</v>
      </c>
      <c r="J69" s="87">
        <f t="shared" si="17"/>
        <v>-1.2701070861780572E-3</v>
      </c>
    </row>
    <row r="70" spans="2:10" ht="20" customHeight="1" x14ac:dyDescent="0.35">
      <c r="B70" s="42" t="s">
        <v>90</v>
      </c>
      <c r="C70" s="219" t="s">
        <v>58</v>
      </c>
      <c r="D70" s="83">
        <f t="shared" ref="D70:J70" si="18">D57-C57</f>
        <v>0</v>
      </c>
      <c r="E70" s="83">
        <f t="shared" si="18"/>
        <v>0</v>
      </c>
      <c r="F70" s="83">
        <f t="shared" si="18"/>
        <v>-0.83563287671232878</v>
      </c>
      <c r="G70" s="83">
        <f t="shared" si="18"/>
        <v>1.6436712328767311E-3</v>
      </c>
      <c r="H70" s="83">
        <f t="shared" si="18"/>
        <v>1.6601079452054635E-3</v>
      </c>
      <c r="I70" s="83">
        <f t="shared" si="18"/>
        <v>1.6767090246575522E-3</v>
      </c>
      <c r="J70" s="87">
        <f t="shared" si="18"/>
        <v>1.6934761149040856E-3</v>
      </c>
    </row>
    <row r="71" spans="2:10" ht="20" customHeight="1" thickBot="1" x14ac:dyDescent="0.4">
      <c r="B71" s="212" t="s">
        <v>91</v>
      </c>
      <c r="C71" s="221" t="s">
        <v>58</v>
      </c>
      <c r="D71" s="108">
        <f t="shared" ref="D71:J71" si="19">SUM(D65:D70)</f>
        <v>-2</v>
      </c>
      <c r="E71" s="108">
        <f t="shared" si="19"/>
        <v>-2</v>
      </c>
      <c r="F71" s="108">
        <f t="shared" si="19"/>
        <v>-2.0318219178082195</v>
      </c>
      <c r="G71" s="108">
        <f t="shared" si="19"/>
        <v>-2.9902182191780824</v>
      </c>
      <c r="H71" s="108">
        <f t="shared" si="19"/>
        <v>-2.9901204013698628</v>
      </c>
      <c r="I71" s="108">
        <f t="shared" si="19"/>
        <v>-2.990021605383562</v>
      </c>
      <c r="J71" s="111">
        <f t="shared" si="19"/>
        <v>-2.9899218214373979</v>
      </c>
    </row>
    <row r="72" spans="2:10" ht="20" customHeight="1" x14ac:dyDescent="0.35">
      <c r="B72" s="158" t="s">
        <v>46</v>
      </c>
      <c r="C72" s="27"/>
      <c r="D72" s="27"/>
      <c r="E72" s="27"/>
      <c r="F72" s="27"/>
      <c r="G72" s="27"/>
      <c r="H72" s="27"/>
      <c r="I72" s="27"/>
      <c r="J72" s="27"/>
    </row>
    <row r="73" spans="2:10" ht="20" customHeight="1" x14ac:dyDescent="0.35">
      <c r="B73" s="211" t="s">
        <v>92</v>
      </c>
      <c r="C73" s="76">
        <f>D73-1</f>
        <v>2022</v>
      </c>
      <c r="D73" s="76">
        <f>E73-1</f>
        <v>2023</v>
      </c>
      <c r="E73" s="76">
        <f t="shared" ref="E73:J73" si="20">E$20</f>
        <v>2024</v>
      </c>
      <c r="F73" s="77">
        <f t="shared" si="20"/>
        <v>2025</v>
      </c>
      <c r="G73" s="77">
        <f t="shared" si="20"/>
        <v>2026</v>
      </c>
      <c r="H73" s="77">
        <f t="shared" si="20"/>
        <v>2027</v>
      </c>
      <c r="I73" s="77">
        <f t="shared" si="20"/>
        <v>2028</v>
      </c>
      <c r="J73" s="77">
        <f t="shared" si="20"/>
        <v>2029</v>
      </c>
    </row>
    <row r="74" spans="2:10" ht="20" customHeight="1" x14ac:dyDescent="0.35">
      <c r="B74" s="42" t="s">
        <v>7</v>
      </c>
      <c r="C74" s="82"/>
      <c r="D74" s="83">
        <f t="shared" ref="D74:J74" si="21">-D91</f>
        <v>-1</v>
      </c>
      <c r="E74" s="83">
        <f t="shared" si="21"/>
        <v>-1</v>
      </c>
      <c r="F74" s="83">
        <f t="shared" si="21"/>
        <v>-1</v>
      </c>
      <c r="G74" s="83">
        <f t="shared" si="21"/>
        <v>-1</v>
      </c>
      <c r="H74" s="83">
        <f t="shared" si="21"/>
        <v>-1</v>
      </c>
      <c r="I74" s="83">
        <f t="shared" si="21"/>
        <v>-1</v>
      </c>
      <c r="J74" s="87">
        <f t="shared" si="21"/>
        <v>-1</v>
      </c>
    </row>
    <row r="75" spans="2:10" ht="20" customHeight="1" thickBot="1" x14ac:dyDescent="0.4">
      <c r="B75" s="212" t="s">
        <v>93</v>
      </c>
      <c r="C75" s="213"/>
      <c r="D75" s="108">
        <f t="shared" ref="D75:J75" si="22">SUM(D74:D74)</f>
        <v>-1</v>
      </c>
      <c r="E75" s="108">
        <f t="shared" si="22"/>
        <v>-1</v>
      </c>
      <c r="F75" s="108">
        <f t="shared" si="22"/>
        <v>-1</v>
      </c>
      <c r="G75" s="108">
        <f t="shared" si="22"/>
        <v>-1</v>
      </c>
      <c r="H75" s="108">
        <f t="shared" si="22"/>
        <v>-1</v>
      </c>
      <c r="I75" s="108">
        <f t="shared" si="22"/>
        <v>-1</v>
      </c>
      <c r="J75" s="111">
        <f t="shared" si="22"/>
        <v>-1</v>
      </c>
    </row>
    <row r="76" spans="2:10" ht="20" customHeight="1" x14ac:dyDescent="0.35">
      <c r="B76" s="158" t="s">
        <v>46</v>
      </c>
      <c r="C76" s="27"/>
      <c r="D76" s="27"/>
      <c r="E76" s="27"/>
      <c r="F76" s="27"/>
      <c r="G76" s="27"/>
      <c r="H76" s="27"/>
      <c r="I76" s="27"/>
      <c r="J76" s="27"/>
    </row>
    <row r="77" spans="2:10" ht="20" customHeight="1" x14ac:dyDescent="0.35">
      <c r="B77" s="211" t="s">
        <v>94</v>
      </c>
      <c r="C77" s="76">
        <f>D77-1</f>
        <v>2022</v>
      </c>
      <c r="D77" s="76">
        <f>E77-1</f>
        <v>2023</v>
      </c>
      <c r="E77" s="76">
        <f t="shared" ref="E77:J77" si="23">E$20</f>
        <v>2024</v>
      </c>
      <c r="F77" s="77">
        <f t="shared" si="23"/>
        <v>2025</v>
      </c>
      <c r="G77" s="77">
        <f t="shared" si="23"/>
        <v>2026</v>
      </c>
      <c r="H77" s="77">
        <f t="shared" si="23"/>
        <v>2027</v>
      </c>
      <c r="I77" s="77">
        <f t="shared" si="23"/>
        <v>2028</v>
      </c>
      <c r="J77" s="77">
        <f t="shared" si="23"/>
        <v>2029</v>
      </c>
    </row>
    <row r="78" spans="2:10" ht="20" customHeight="1" x14ac:dyDescent="0.35">
      <c r="B78" s="42" t="s">
        <v>95</v>
      </c>
      <c r="C78" s="214"/>
      <c r="D78" s="92">
        <f>'DCF Valuation Model - BLANK'!D58-C58</f>
        <v>0</v>
      </c>
      <c r="E78" s="92">
        <f>'DCF Valuation Model - BLANK'!E58-D58</f>
        <v>0</v>
      </c>
      <c r="F78" s="92">
        <f>'DCF Valuation Model - BLANK'!F58-E58</f>
        <v>0</v>
      </c>
      <c r="G78" s="195">
        <v>1</v>
      </c>
      <c r="H78" s="195">
        <v>1</v>
      </c>
      <c r="I78" s="195">
        <v>1</v>
      </c>
      <c r="J78" s="196">
        <v>1</v>
      </c>
    </row>
    <row r="79" spans="2:10" ht="20" customHeight="1" x14ac:dyDescent="0.35">
      <c r="B79" s="42" t="s">
        <v>96</v>
      </c>
      <c r="C79" s="214"/>
      <c r="D79" s="215">
        <f t="shared" ref="D79:J79" si="24">-D66</f>
        <v>-1</v>
      </c>
      <c r="E79" s="215">
        <f t="shared" si="24"/>
        <v>-1</v>
      </c>
      <c r="F79" s="215">
        <f t="shared" si="24"/>
        <v>-0.01</v>
      </c>
      <c r="G79" s="215">
        <f t="shared" si="24"/>
        <v>-1.4999999999999999E-2</v>
      </c>
      <c r="H79" s="215">
        <f t="shared" si="24"/>
        <v>-2.5000000000000001E-2</v>
      </c>
      <c r="I79" s="215">
        <f t="shared" si="24"/>
        <v>-3.5000000000000003E-2</v>
      </c>
      <c r="J79" s="216">
        <f t="shared" si="24"/>
        <v>-4.4999999999999998E-2</v>
      </c>
    </row>
    <row r="80" spans="2:10" ht="20" customHeight="1" x14ac:dyDescent="0.35">
      <c r="B80" s="42" t="s">
        <v>97</v>
      </c>
      <c r="C80" s="183"/>
      <c r="D80" s="195">
        <v>0</v>
      </c>
      <c r="E80" s="195">
        <v>0</v>
      </c>
      <c r="F80" s="195">
        <v>0</v>
      </c>
      <c r="G80" s="195">
        <v>0</v>
      </c>
      <c r="H80" s="195">
        <v>0</v>
      </c>
      <c r="I80" s="195">
        <v>0</v>
      </c>
      <c r="J80" s="196">
        <v>0</v>
      </c>
    </row>
    <row r="81" spans="1:10" ht="20" customHeight="1" x14ac:dyDescent="0.35">
      <c r="B81" s="42" t="s">
        <v>98</v>
      </c>
      <c r="C81" s="183"/>
      <c r="D81" s="195">
        <v>0</v>
      </c>
      <c r="E81" s="195">
        <v>0</v>
      </c>
      <c r="F81" s="195">
        <v>0</v>
      </c>
      <c r="G81" s="195">
        <v>0</v>
      </c>
      <c r="H81" s="195">
        <v>0</v>
      </c>
      <c r="I81" s="195">
        <v>0</v>
      </c>
      <c r="J81" s="196">
        <v>0</v>
      </c>
    </row>
    <row r="82" spans="1:10" ht="20" customHeight="1" thickBot="1" x14ac:dyDescent="0.4">
      <c r="B82" s="212" t="s">
        <v>93</v>
      </c>
      <c r="C82" s="213"/>
      <c r="D82" s="217">
        <f t="shared" ref="D82:J82" si="25">SUM(D78:D81)</f>
        <v>-1</v>
      </c>
      <c r="E82" s="217">
        <f t="shared" si="25"/>
        <v>-1</v>
      </c>
      <c r="F82" s="217">
        <f t="shared" si="25"/>
        <v>-0.01</v>
      </c>
      <c r="G82" s="217">
        <f t="shared" si="25"/>
        <v>0.98499999999999999</v>
      </c>
      <c r="H82" s="217">
        <f t="shared" si="25"/>
        <v>0.97499999999999998</v>
      </c>
      <c r="I82" s="217">
        <f t="shared" si="25"/>
        <v>0.96499999999999997</v>
      </c>
      <c r="J82" s="218">
        <f t="shared" si="25"/>
        <v>0.95499999999999996</v>
      </c>
    </row>
    <row r="83" spans="1:10" ht="20" customHeight="1" x14ac:dyDescent="0.35">
      <c r="B83" s="158" t="s">
        <v>46</v>
      </c>
      <c r="C83" s="76">
        <f>D83-1</f>
        <v>2022</v>
      </c>
      <c r="D83" s="76">
        <f>E83-1</f>
        <v>2023</v>
      </c>
      <c r="E83" s="76">
        <f t="shared" ref="E83:J83" si="26">E$20</f>
        <v>2024</v>
      </c>
      <c r="F83" s="77">
        <f t="shared" si="26"/>
        <v>2025</v>
      </c>
      <c r="G83" s="77">
        <f t="shared" si="26"/>
        <v>2026</v>
      </c>
      <c r="H83" s="77">
        <f t="shared" si="26"/>
        <v>2027</v>
      </c>
      <c r="I83" s="77">
        <f t="shared" si="26"/>
        <v>2028</v>
      </c>
      <c r="J83" s="77">
        <f t="shared" si="26"/>
        <v>2029</v>
      </c>
    </row>
    <row r="84" spans="1:10" ht="20" customHeight="1" thickBot="1" x14ac:dyDescent="0.4">
      <c r="B84" s="13" t="s">
        <v>99</v>
      </c>
      <c r="C84" s="95"/>
      <c r="D84" s="97">
        <f t="shared" ref="D84:J84" si="27">D71+D75+D82</f>
        <v>-4</v>
      </c>
      <c r="E84" s="97">
        <f t="shared" si="27"/>
        <v>-4</v>
      </c>
      <c r="F84" s="97">
        <f t="shared" si="27"/>
        <v>-3.0418219178082193</v>
      </c>
      <c r="G84" s="97">
        <f t="shared" si="27"/>
        <v>-3.0052182191780825</v>
      </c>
      <c r="H84" s="97">
        <f t="shared" si="27"/>
        <v>-3.0151204013698627</v>
      </c>
      <c r="I84" s="97">
        <f t="shared" si="27"/>
        <v>-3.0250216053835621</v>
      </c>
      <c r="J84" s="109">
        <f t="shared" si="27"/>
        <v>-3.0349218214373979</v>
      </c>
    </row>
    <row r="85" spans="1:10" ht="20" customHeight="1" x14ac:dyDescent="0.35">
      <c r="B85" s="210" t="s">
        <v>46</v>
      </c>
      <c r="C85" s="76">
        <f>D85-1</f>
        <v>2022</v>
      </c>
      <c r="D85" s="76">
        <f>E85-1</f>
        <v>2023</v>
      </c>
      <c r="E85" s="76">
        <f t="shared" ref="E85:J85" si="28">E$20</f>
        <v>2024</v>
      </c>
      <c r="F85" s="77">
        <f t="shared" si="28"/>
        <v>2025</v>
      </c>
      <c r="G85" s="77">
        <f t="shared" si="28"/>
        <v>2026</v>
      </c>
      <c r="H85" s="77">
        <f t="shared" si="28"/>
        <v>2027</v>
      </c>
      <c r="I85" s="77">
        <f t="shared" si="28"/>
        <v>2028</v>
      </c>
      <c r="J85" s="77">
        <f t="shared" si="28"/>
        <v>2029</v>
      </c>
    </row>
    <row r="86" spans="1:10" ht="20" customHeight="1" x14ac:dyDescent="0.35">
      <c r="B86" s="42" t="s">
        <v>100</v>
      </c>
      <c r="C86" s="82"/>
      <c r="D86" s="83">
        <f>C51</f>
        <v>1</v>
      </c>
      <c r="E86" s="83">
        <f t="shared" ref="E86:J86" si="29">D87</f>
        <v>-3</v>
      </c>
      <c r="F86" s="83">
        <f t="shared" si="29"/>
        <v>-7</v>
      </c>
      <c r="G86" s="83">
        <f t="shared" si="29"/>
        <v>-10.041821917808219</v>
      </c>
      <c r="H86" s="83">
        <f t="shared" si="29"/>
        <v>-13.047040136986302</v>
      </c>
      <c r="I86" s="83">
        <f t="shared" si="29"/>
        <v>-16.062160538356164</v>
      </c>
      <c r="J86" s="87">
        <f t="shared" si="29"/>
        <v>-19.087182143739724</v>
      </c>
    </row>
    <row r="87" spans="1:10" ht="20" customHeight="1" thickBot="1" x14ac:dyDescent="0.4">
      <c r="B87" s="212" t="s">
        <v>101</v>
      </c>
      <c r="C87" s="213"/>
      <c r="D87" s="108">
        <f t="shared" ref="D87:J87" si="30">D84+D86</f>
        <v>-3</v>
      </c>
      <c r="E87" s="108">
        <f t="shared" si="30"/>
        <v>-7</v>
      </c>
      <c r="F87" s="108">
        <f t="shared" si="30"/>
        <v>-10.041821917808219</v>
      </c>
      <c r="G87" s="108">
        <f t="shared" si="30"/>
        <v>-13.047040136986302</v>
      </c>
      <c r="H87" s="108">
        <f t="shared" si="30"/>
        <v>-16.062160538356164</v>
      </c>
      <c r="I87" s="108">
        <f t="shared" si="30"/>
        <v>-19.087182143739724</v>
      </c>
      <c r="J87" s="111">
        <f t="shared" si="30"/>
        <v>-22.122103965177121</v>
      </c>
    </row>
    <row r="89" spans="1:10" s="20" customFormat="1" ht="25" customHeight="1" x14ac:dyDescent="0.35">
      <c r="B89" s="26" t="s">
        <v>29</v>
      </c>
      <c r="C89" s="26"/>
      <c r="D89" s="26"/>
      <c r="E89" s="26"/>
      <c r="F89" s="26"/>
      <c r="G89" s="26"/>
      <c r="H89" s="26"/>
      <c r="I89" s="26"/>
      <c r="J89" s="26"/>
    </row>
    <row r="90" spans="1:10" s="72" customFormat="1" ht="20" customHeight="1" x14ac:dyDescent="0.35">
      <c r="B90" s="78"/>
      <c r="C90" s="73">
        <f>D90-1</f>
        <v>2022</v>
      </c>
      <c r="D90" s="73">
        <f>E90-1</f>
        <v>2023</v>
      </c>
      <c r="E90" s="73">
        <f t="shared" ref="E90:J90" si="31">E$20</f>
        <v>2024</v>
      </c>
      <c r="F90" s="74">
        <f t="shared" si="31"/>
        <v>2025</v>
      </c>
      <c r="G90" s="74">
        <f t="shared" si="31"/>
        <v>2026</v>
      </c>
      <c r="H90" s="74">
        <f t="shared" si="31"/>
        <v>2027</v>
      </c>
      <c r="I90" s="74">
        <f t="shared" si="31"/>
        <v>2028</v>
      </c>
      <c r="J90" s="74">
        <f t="shared" si="31"/>
        <v>2029</v>
      </c>
    </row>
    <row r="91" spans="1:10" s="37" customFormat="1" ht="20" customHeight="1" thickBot="1" x14ac:dyDescent="0.4">
      <c r="A91" s="45"/>
      <c r="B91" s="151" t="s">
        <v>26</v>
      </c>
      <c r="C91" s="152" t="s">
        <v>58</v>
      </c>
      <c r="D91" s="153">
        <f>D54-D35-C54</f>
        <v>1</v>
      </c>
      <c r="E91" s="153">
        <f>E54-E35-D54</f>
        <v>1</v>
      </c>
      <c r="F91" s="154">
        <v>1</v>
      </c>
      <c r="G91" s="154">
        <v>1</v>
      </c>
      <c r="H91" s="154">
        <v>1</v>
      </c>
      <c r="I91" s="154">
        <v>1</v>
      </c>
      <c r="J91" s="236">
        <f>J105</f>
        <v>1</v>
      </c>
    </row>
    <row r="92" spans="1:10" s="37" customFormat="1" ht="20" customHeight="1" x14ac:dyDescent="0.35">
      <c r="A92" s="45"/>
      <c r="B92" s="79"/>
      <c r="C92" s="27"/>
      <c r="D92" s="27"/>
      <c r="E92" s="28"/>
      <c r="F92" s="28"/>
      <c r="G92" s="27"/>
      <c r="H92" s="27"/>
      <c r="I92" s="27"/>
      <c r="J92" s="27"/>
    </row>
    <row r="93" spans="1:10" s="37" customFormat="1" ht="20" customHeight="1" thickBot="1" x14ac:dyDescent="0.4">
      <c r="A93" s="45"/>
      <c r="B93" s="151" t="s">
        <v>53</v>
      </c>
      <c r="C93" s="103"/>
      <c r="D93" s="103"/>
      <c r="E93" s="155">
        <f>E109+E107</f>
        <v>1</v>
      </c>
      <c r="F93" s="155">
        <f>E93+F91</f>
        <v>2</v>
      </c>
      <c r="G93" s="97">
        <f>F93+G91</f>
        <v>3</v>
      </c>
      <c r="H93" s="97">
        <f>G93+H91</f>
        <v>4</v>
      </c>
      <c r="I93" s="97">
        <f>H93+I91</f>
        <v>5</v>
      </c>
      <c r="J93" s="109">
        <f>I93+J91</f>
        <v>6</v>
      </c>
    </row>
    <row r="94" spans="1:10" s="37" customFormat="1" ht="20" customHeight="1" x14ac:dyDescent="0.35">
      <c r="A94" s="45"/>
      <c r="B94" s="79" t="s">
        <v>46</v>
      </c>
      <c r="C94" s="27"/>
      <c r="D94" s="27"/>
      <c r="E94" s="27"/>
      <c r="F94" s="27"/>
      <c r="G94" s="27"/>
      <c r="H94" s="27"/>
      <c r="I94" s="27"/>
      <c r="J94" s="27"/>
    </row>
    <row r="95" spans="1:10" s="37" customFormat="1" ht="20" customHeight="1" thickBot="1" x14ac:dyDescent="0.4">
      <c r="A95" s="45"/>
      <c r="B95" s="156" t="s">
        <v>54</v>
      </c>
      <c r="C95" s="157">
        <v>20</v>
      </c>
      <c r="D95" s="85" t="s">
        <v>59</v>
      </c>
      <c r="F95" s="27"/>
      <c r="G95" s="27"/>
      <c r="H95" s="27"/>
      <c r="I95" s="27"/>
      <c r="J95" s="27"/>
    </row>
    <row r="96" spans="1:10" s="37" customFormat="1" ht="20" customHeight="1" x14ac:dyDescent="0.35">
      <c r="A96" s="45"/>
      <c r="B96" s="79" t="s">
        <v>46</v>
      </c>
      <c r="C96" s="27"/>
      <c r="D96" s="27"/>
      <c r="E96" s="29"/>
      <c r="F96" s="27"/>
      <c r="G96" s="27"/>
      <c r="H96" s="27"/>
      <c r="I96" s="27"/>
      <c r="J96" s="27"/>
    </row>
    <row r="97" spans="1:10" s="37" customFormat="1" ht="20" customHeight="1" x14ac:dyDescent="0.35">
      <c r="A97" s="45"/>
      <c r="B97" s="79"/>
      <c r="C97" s="86" t="s">
        <v>55</v>
      </c>
      <c r="D97" s="27"/>
      <c r="E97" s="29"/>
      <c r="F97" s="27"/>
      <c r="G97" s="27"/>
      <c r="H97" s="27"/>
      <c r="I97" s="27"/>
      <c r="J97" s="27"/>
    </row>
    <row r="98" spans="1:10" s="72" customFormat="1" ht="20" customHeight="1" x14ac:dyDescent="0.35">
      <c r="B98" s="78"/>
      <c r="C98" s="73">
        <f>D98-1</f>
        <v>2022</v>
      </c>
      <c r="D98" s="73">
        <f>E98-1</f>
        <v>2023</v>
      </c>
      <c r="E98" s="73">
        <f t="shared" ref="E98:J98" si="32">E$20</f>
        <v>2024</v>
      </c>
      <c r="F98" s="74">
        <f t="shared" si="32"/>
        <v>2025</v>
      </c>
      <c r="G98" s="74">
        <f t="shared" si="32"/>
        <v>2026</v>
      </c>
      <c r="H98" s="74">
        <f t="shared" si="32"/>
        <v>2027</v>
      </c>
      <c r="I98" s="74">
        <f t="shared" si="32"/>
        <v>2028</v>
      </c>
      <c r="J98" s="74">
        <f t="shared" si="32"/>
        <v>2029</v>
      </c>
    </row>
    <row r="99" spans="1:10" s="37" customFormat="1" ht="20" customHeight="1" x14ac:dyDescent="0.35">
      <c r="A99" s="45"/>
      <c r="B99" s="2"/>
      <c r="C99" s="88">
        <f>E90</f>
        <v>2024</v>
      </c>
      <c r="D99" s="89">
        <f>E93</f>
        <v>1</v>
      </c>
      <c r="E99" s="82"/>
      <c r="F99" s="83">
        <f>$D99/$C$95</f>
        <v>0.05</v>
      </c>
      <c r="G99" s="83">
        <f>IF(SUM($F99:F99)+$D99/$C$95&gt;$D99,0,$D99/$C$95)</f>
        <v>0.05</v>
      </c>
      <c r="H99" s="83">
        <f>IF(SUM($F99:G99)+$D99/$C$95&gt;$D99,0,$D99/$C$95)</f>
        <v>0.05</v>
      </c>
      <c r="I99" s="83">
        <f>IF(SUM($F99:H99)+$D99/$C$95&gt;$D99,0,$D99/$C$95)</f>
        <v>0.05</v>
      </c>
      <c r="J99" s="87">
        <f>IF(SUM($F99:I99)+$D99/$C$95&gt;$D99,0,$D99/$C$95)</f>
        <v>0.05</v>
      </c>
    </row>
    <row r="100" spans="1:10" s="37" customFormat="1" ht="20" customHeight="1" x14ac:dyDescent="0.35">
      <c r="A100" s="45"/>
      <c r="B100" s="2"/>
      <c r="C100" s="90">
        <f>F90</f>
        <v>2025</v>
      </c>
      <c r="D100" s="89">
        <f>F91</f>
        <v>1</v>
      </c>
      <c r="E100" s="82"/>
      <c r="F100" s="91"/>
      <c r="G100" s="83">
        <f>$D100/$C$95</f>
        <v>0.05</v>
      </c>
      <c r="H100" s="83">
        <f>IF(SUM($F100:G100)+$D100/$C$95&gt;$D100,0,$D100/$C$95)</f>
        <v>0.05</v>
      </c>
      <c r="I100" s="83">
        <f>IF(SUM($F100:H100)+$D100/$C$95&gt;$D100,0,$D100/$C$95)</f>
        <v>0.05</v>
      </c>
      <c r="J100" s="87">
        <f>IF(SUM($F100:I100)+$D100/$C$95&gt;$D100,0,$D100/$C$95)</f>
        <v>0.05</v>
      </c>
    </row>
    <row r="101" spans="1:10" s="37" customFormat="1" ht="20" customHeight="1" x14ac:dyDescent="0.35">
      <c r="A101" s="45"/>
      <c r="B101" s="2"/>
      <c r="C101" s="90">
        <f>C100+1</f>
        <v>2026</v>
      </c>
      <c r="D101" s="89">
        <f>G91</f>
        <v>1</v>
      </c>
      <c r="E101" s="82"/>
      <c r="F101" s="91"/>
      <c r="G101" s="91"/>
      <c r="H101" s="83">
        <f>$D101/$C$95</f>
        <v>0.05</v>
      </c>
      <c r="I101" s="83">
        <f>IF(SUM($F101:H101)+$D101/$C$95&gt;$D101,0,$D101/$C$95)</f>
        <v>0.05</v>
      </c>
      <c r="J101" s="87">
        <f>IF(SUM($F101:I101)+$D101/$C$95&gt;$D101,0,$D101/$C$95)</f>
        <v>0.05</v>
      </c>
    </row>
    <row r="102" spans="1:10" s="37" customFormat="1" ht="20" customHeight="1" x14ac:dyDescent="0.35">
      <c r="A102" s="45"/>
      <c r="B102" s="2"/>
      <c r="C102" s="90">
        <f>C101+1</f>
        <v>2027</v>
      </c>
      <c r="D102" s="89">
        <f>H91</f>
        <v>1</v>
      </c>
      <c r="E102" s="82"/>
      <c r="F102" s="91"/>
      <c r="G102" s="91"/>
      <c r="H102" s="91"/>
      <c r="I102" s="83">
        <f>$D102/$C$95</f>
        <v>0.05</v>
      </c>
      <c r="J102" s="87">
        <f>IF(SUM($F102:I102)+$D102/$C$95&gt;$D102,0,$D102/$C$95)</f>
        <v>0.05</v>
      </c>
    </row>
    <row r="103" spans="1:10" s="37" customFormat="1" ht="20" customHeight="1" thickBot="1" x14ac:dyDescent="0.4">
      <c r="A103" s="45"/>
      <c r="B103" s="2"/>
      <c r="C103" s="93">
        <f>C102+1</f>
        <v>2028</v>
      </c>
      <c r="D103" s="94">
        <f>I91</f>
        <v>1</v>
      </c>
      <c r="E103" s="95"/>
      <c r="F103" s="96"/>
      <c r="G103" s="96"/>
      <c r="H103" s="96"/>
      <c r="I103" s="96"/>
      <c r="J103" s="109">
        <f>$D103/$C$95</f>
        <v>0.05</v>
      </c>
    </row>
    <row r="104" spans="1:10" s="37" customFormat="1" ht="20" customHeight="1" x14ac:dyDescent="0.35">
      <c r="A104" s="45"/>
      <c r="B104" s="80" t="s">
        <v>46</v>
      </c>
      <c r="C104" s="30"/>
      <c r="D104" s="30"/>
      <c r="E104" s="27"/>
      <c r="F104" s="31"/>
      <c r="G104" s="31"/>
      <c r="H104" s="31"/>
      <c r="I104" s="31"/>
      <c r="J104" s="27"/>
    </row>
    <row r="105" spans="1:10" s="37" customFormat="1" ht="20" customHeight="1" thickBot="1" x14ac:dyDescent="0.4">
      <c r="A105" s="45"/>
      <c r="C105" s="99" t="s">
        <v>55</v>
      </c>
      <c r="D105" s="98"/>
      <c r="E105" s="100"/>
      <c r="F105" s="101">
        <f>SUM(F99:F103)</f>
        <v>0.05</v>
      </c>
      <c r="G105" s="97">
        <f>SUM(G99:G103)</f>
        <v>0.1</v>
      </c>
      <c r="H105" s="97">
        <f>SUM(H99:H103)</f>
        <v>0.15000000000000002</v>
      </c>
      <c r="I105" s="97">
        <f>SUM(I99:I103)</f>
        <v>0.2</v>
      </c>
      <c r="J105" s="112">
        <v>1</v>
      </c>
    </row>
    <row r="106" spans="1:10" s="37" customFormat="1" ht="20" customHeight="1" x14ac:dyDescent="0.35">
      <c r="A106" s="45"/>
      <c r="C106" s="81" t="s">
        <v>46</v>
      </c>
      <c r="D106" s="31"/>
      <c r="E106" s="31"/>
      <c r="F106" s="31"/>
      <c r="G106" s="31"/>
      <c r="H106" s="31"/>
      <c r="I106" s="31"/>
      <c r="J106" s="31"/>
    </row>
    <row r="107" spans="1:10" s="37" customFormat="1" ht="20" customHeight="1" thickBot="1" x14ac:dyDescent="0.4">
      <c r="A107" s="45"/>
      <c r="C107" s="102" t="s">
        <v>56</v>
      </c>
      <c r="D107" s="103"/>
      <c r="E107" s="104">
        <f>E105</f>
        <v>0</v>
      </c>
      <c r="F107" s="104">
        <f>F105</f>
        <v>0.05</v>
      </c>
      <c r="G107" s="104">
        <f>F107+G105</f>
        <v>0.15000000000000002</v>
      </c>
      <c r="H107" s="104">
        <f>G107+H105</f>
        <v>0.30000000000000004</v>
      </c>
      <c r="I107" s="104">
        <f>H107+I105</f>
        <v>0.5</v>
      </c>
      <c r="J107" s="110">
        <f>I107+J105</f>
        <v>1.5</v>
      </c>
    </row>
    <row r="108" spans="1:10" s="37" customFormat="1" ht="20" customHeight="1" x14ac:dyDescent="0.35">
      <c r="A108" s="45"/>
      <c r="C108" s="79" t="s">
        <v>46</v>
      </c>
      <c r="D108" s="27"/>
      <c r="E108" s="27"/>
      <c r="F108" s="27"/>
      <c r="G108" s="27"/>
      <c r="H108" s="27"/>
      <c r="I108" s="27"/>
      <c r="J108" s="27"/>
    </row>
    <row r="109" spans="1:10" s="37" customFormat="1" ht="20" customHeight="1" thickBot="1" x14ac:dyDescent="0.4">
      <c r="A109" s="45"/>
      <c r="C109" s="105" t="s">
        <v>57</v>
      </c>
      <c r="D109" s="106"/>
      <c r="E109" s="107">
        <f>E54</f>
        <v>1</v>
      </c>
      <c r="F109" s="108">
        <f>F93-F107</f>
        <v>1.95</v>
      </c>
      <c r="G109" s="108">
        <f>G93-G107</f>
        <v>2.85</v>
      </c>
      <c r="H109" s="108">
        <f>H93-H107</f>
        <v>3.7</v>
      </c>
      <c r="I109" s="108">
        <f>I93-I107</f>
        <v>4.5</v>
      </c>
      <c r="J109" s="111">
        <f>J93-J107</f>
        <v>4.5</v>
      </c>
    </row>
    <row r="110" spans="1:10" x14ac:dyDescent="0.35">
      <c r="B110" s="35"/>
      <c r="C110" s="35"/>
      <c r="D110" s="35"/>
      <c r="E110" s="35"/>
      <c r="F110" s="35"/>
      <c r="G110" s="36"/>
      <c r="H110" s="35"/>
      <c r="I110" s="35"/>
      <c r="J110" s="35"/>
    </row>
    <row r="111" spans="1:10" s="72" customFormat="1" ht="20" customHeight="1" x14ac:dyDescent="0.35">
      <c r="B111" s="67" t="s">
        <v>52</v>
      </c>
      <c r="C111" s="70"/>
      <c r="D111" s="70"/>
      <c r="E111" s="148">
        <f t="shared" ref="E111:J111" si="33">E$20</f>
        <v>2024</v>
      </c>
      <c r="F111" s="149">
        <f t="shared" si="33"/>
        <v>2025</v>
      </c>
      <c r="G111" s="149">
        <f t="shared" si="33"/>
        <v>2026</v>
      </c>
      <c r="H111" s="149">
        <f t="shared" si="33"/>
        <v>2027</v>
      </c>
      <c r="I111" s="149">
        <f t="shared" si="33"/>
        <v>2028</v>
      </c>
      <c r="J111" s="149">
        <f t="shared" si="33"/>
        <v>2029</v>
      </c>
    </row>
    <row r="112" spans="1:10" ht="5" customHeight="1" x14ac:dyDescent="0.35">
      <c r="B112" s="172" t="s">
        <v>46</v>
      </c>
      <c r="C112" s="173"/>
      <c r="D112" s="173"/>
      <c r="E112" s="174"/>
      <c r="F112" s="173"/>
      <c r="G112" s="173"/>
      <c r="H112" s="173"/>
      <c r="I112" s="173"/>
      <c r="J112" s="175"/>
    </row>
    <row r="113" spans="2:10" ht="20" customHeight="1" x14ac:dyDescent="0.35">
      <c r="B113" s="169" t="s">
        <v>3</v>
      </c>
      <c r="C113" s="127"/>
      <c r="D113" s="126"/>
      <c r="E113" s="127"/>
      <c r="F113" s="170">
        <f>F36</f>
        <v>-3.0398999999999998</v>
      </c>
      <c r="G113" s="170">
        <f>G36</f>
        <v>-3.0897990000000002</v>
      </c>
      <c r="H113" s="170">
        <f>H36</f>
        <v>-3.13969699</v>
      </c>
      <c r="I113" s="170">
        <f>I36</f>
        <v>-3.1895939599000003</v>
      </c>
      <c r="J113" s="171">
        <f>J36</f>
        <v>-3.989489899499</v>
      </c>
    </row>
    <row r="114" spans="2:10" ht="20" customHeight="1" x14ac:dyDescent="0.35">
      <c r="B114" s="117" t="s">
        <v>41</v>
      </c>
      <c r="C114" s="118"/>
      <c r="D114" s="119"/>
      <c r="E114" s="118"/>
      <c r="F114" s="138">
        <f>IF(F113&lt;0,0,-F113*F44)</f>
        <v>0</v>
      </c>
      <c r="G114" s="138">
        <f>IF(G113&lt;0,0,-G113*G44)</f>
        <v>0</v>
      </c>
      <c r="H114" s="138">
        <f>IF(H113&lt;0,0,-H113*H44)</f>
        <v>0</v>
      </c>
      <c r="I114" s="138">
        <f>IF(I113&lt;0,0,-I113*I44)</f>
        <v>0</v>
      </c>
      <c r="J114" s="139">
        <f>IF(J113&lt;0,0,-J113*J44)</f>
        <v>0</v>
      </c>
    </row>
    <row r="115" spans="2:10" ht="20" customHeight="1" x14ac:dyDescent="0.35">
      <c r="B115" s="117" t="s">
        <v>42</v>
      </c>
      <c r="C115" s="118"/>
      <c r="D115" s="119"/>
      <c r="E115" s="118"/>
      <c r="F115" s="138">
        <f>F67</f>
        <v>0.05</v>
      </c>
      <c r="G115" s="138">
        <f>G67</f>
        <v>0.1</v>
      </c>
      <c r="H115" s="138">
        <f>H67</f>
        <v>0.15000000000000002</v>
      </c>
      <c r="I115" s="138">
        <f>I67</f>
        <v>0.2</v>
      </c>
      <c r="J115" s="139">
        <f>J67</f>
        <v>1</v>
      </c>
    </row>
    <row r="116" spans="2:10" ht="20" customHeight="1" x14ac:dyDescent="0.35">
      <c r="B116" s="117" t="s">
        <v>43</v>
      </c>
      <c r="C116" s="118"/>
      <c r="D116" s="119"/>
      <c r="E116" s="118"/>
      <c r="F116" s="138">
        <f>SUM(F68:F70)</f>
        <v>0.95807808219178081</v>
      </c>
      <c r="G116" s="138">
        <f>SUM(G68:G70)</f>
        <v>-4.1921917808218634E-4</v>
      </c>
      <c r="H116" s="138">
        <f>SUM(H68:H70)</f>
        <v>-4.2341136986299988E-4</v>
      </c>
      <c r="I116" s="138">
        <f>SUM(I68:I70)</f>
        <v>-4.2764548356165333E-4</v>
      </c>
      <c r="J116" s="139">
        <f>SUM(J68:J70)</f>
        <v>-4.3192193839725057E-4</v>
      </c>
    </row>
    <row r="117" spans="2:10" ht="20" customHeight="1" x14ac:dyDescent="0.35">
      <c r="B117" s="117" t="s">
        <v>7</v>
      </c>
      <c r="C117" s="118"/>
      <c r="D117" s="118"/>
      <c r="E117" s="118"/>
      <c r="F117" s="138">
        <f>F75</f>
        <v>-1</v>
      </c>
      <c r="G117" s="138">
        <f>G75</f>
        <v>-1</v>
      </c>
      <c r="H117" s="138">
        <f>H75</f>
        <v>-1</v>
      </c>
      <c r="I117" s="138">
        <f>I75</f>
        <v>-1</v>
      </c>
      <c r="J117" s="139">
        <f>J75</f>
        <v>-1</v>
      </c>
    </row>
    <row r="118" spans="2:10" ht="20" customHeight="1" x14ac:dyDescent="0.35">
      <c r="B118" s="121" t="s">
        <v>44</v>
      </c>
      <c r="C118" s="122"/>
      <c r="D118" s="122"/>
      <c r="E118" s="122"/>
      <c r="F118" s="140">
        <f>SUM(F113:F117)</f>
        <v>-3.0318219178082191</v>
      </c>
      <c r="G118" s="140">
        <f>SUM(G113:G117)</f>
        <v>-3.9902182191780824</v>
      </c>
      <c r="H118" s="140">
        <f>SUM(H113:H117)</f>
        <v>-3.9901204013698632</v>
      </c>
      <c r="I118" s="140">
        <f>SUM(I113:I117)</f>
        <v>-3.9900216053835615</v>
      </c>
      <c r="J118" s="141">
        <f>SUM(J113:J117)</f>
        <v>-3.989921821437397</v>
      </c>
    </row>
    <row r="119" spans="2:10" ht="20" customHeight="1" x14ac:dyDescent="0.35">
      <c r="B119" s="123" t="s">
        <v>8</v>
      </c>
      <c r="C119" s="119"/>
      <c r="D119" s="119"/>
      <c r="E119" s="119"/>
      <c r="F119" s="142"/>
      <c r="G119" s="142"/>
      <c r="H119" s="142"/>
      <c r="I119" s="142"/>
      <c r="J119" s="143">
        <f>J32*C6</f>
        <v>-2.989489899499</v>
      </c>
    </row>
    <row r="120" spans="2:10" ht="20" customHeight="1" x14ac:dyDescent="0.35">
      <c r="B120" s="121" t="s">
        <v>45</v>
      </c>
      <c r="C120" s="122"/>
      <c r="D120" s="122"/>
      <c r="E120" s="122"/>
      <c r="F120" s="140">
        <f>F118+F119</f>
        <v>-3.0318219178082191</v>
      </c>
      <c r="G120" s="140">
        <f>G118+G119</f>
        <v>-3.9902182191780824</v>
      </c>
      <c r="H120" s="140">
        <f>H118+H119</f>
        <v>-3.9901204013698632</v>
      </c>
      <c r="I120" s="140">
        <f>I118+I119</f>
        <v>-3.9900216053835615</v>
      </c>
      <c r="J120" s="141">
        <f>J118+J119</f>
        <v>-6.9794117209363975</v>
      </c>
    </row>
    <row r="121" spans="2:10" ht="20" customHeight="1" x14ac:dyDescent="0.35">
      <c r="B121" s="123" t="s">
        <v>46</v>
      </c>
      <c r="C121" s="119"/>
      <c r="D121" s="119"/>
      <c r="E121" s="119"/>
      <c r="F121" s="144"/>
      <c r="G121" s="144"/>
      <c r="H121" s="144"/>
      <c r="I121" s="144"/>
      <c r="J121" s="145"/>
    </row>
    <row r="122" spans="2:10" ht="20" customHeight="1" x14ac:dyDescent="0.35">
      <c r="B122" s="123" t="s">
        <v>47</v>
      </c>
      <c r="C122" s="119"/>
      <c r="D122" s="119"/>
      <c r="E122" s="119"/>
      <c r="F122" s="146">
        <f>C8</f>
        <v>1</v>
      </c>
      <c r="G122" s="146">
        <v>1</v>
      </c>
      <c r="H122" s="146">
        <v>1</v>
      </c>
      <c r="I122" s="146">
        <v>1</v>
      </c>
      <c r="J122" s="147">
        <v>1</v>
      </c>
    </row>
    <row r="123" spans="2:10" ht="20" customHeight="1" x14ac:dyDescent="0.35">
      <c r="B123" s="123" t="s">
        <v>48</v>
      </c>
      <c r="C123" s="119"/>
      <c r="D123" s="119"/>
      <c r="E123" s="119"/>
      <c r="F123" s="146">
        <f>1/(1+$C$7)^C8</f>
        <v>0.99009900990099009</v>
      </c>
      <c r="G123" s="146">
        <f>F123/(1+$C$7)^G122</f>
        <v>0.98029604940692083</v>
      </c>
      <c r="H123" s="146">
        <f>G123/(1+$C$7)^H122</f>
        <v>0.97059014792764442</v>
      </c>
      <c r="I123" s="146">
        <f>H123/(1+$C$7)^I122</f>
        <v>0.96098034448281622</v>
      </c>
      <c r="J123" s="147">
        <f>I123/(1+$C$7)^J122</f>
        <v>0.95146568760674877</v>
      </c>
    </row>
    <row r="124" spans="2:10" ht="20" customHeight="1" x14ac:dyDescent="0.35">
      <c r="B124" s="123" t="s">
        <v>49</v>
      </c>
      <c r="C124" s="119"/>
      <c r="D124" s="119"/>
      <c r="E124" s="119"/>
      <c r="F124" s="118">
        <f>F120*F123</f>
        <v>-3.0018038790180386</v>
      </c>
      <c r="G124" s="118">
        <f>G120*G123</f>
        <v>-3.911595156531793</v>
      </c>
      <c r="H124" s="118">
        <f>H120*H123</f>
        <v>-3.8727715506146874</v>
      </c>
      <c r="I124" s="118">
        <f>I120*I123</f>
        <v>-3.8343323368353746</v>
      </c>
      <c r="J124" s="120">
        <f>J120*J123</f>
        <v>-6.6406707721513509</v>
      </c>
    </row>
    <row r="125" spans="2:10" ht="20" customHeight="1" x14ac:dyDescent="0.35">
      <c r="B125" s="125" t="s">
        <v>50</v>
      </c>
      <c r="C125" s="126"/>
      <c r="D125" s="126"/>
      <c r="E125" s="127">
        <f>SUM(F124:J124)</f>
        <v>-21.261173695151243</v>
      </c>
      <c r="F125" s="119"/>
      <c r="G125" s="119"/>
      <c r="H125" s="119"/>
      <c r="I125" s="119"/>
      <c r="J125" s="124"/>
    </row>
    <row r="126" spans="2:10" ht="20" customHeight="1" x14ac:dyDescent="0.35">
      <c r="B126" s="123" t="s">
        <v>46</v>
      </c>
      <c r="C126" s="119"/>
      <c r="D126" s="119"/>
      <c r="E126" s="118"/>
      <c r="F126" s="119"/>
      <c r="G126" s="119"/>
      <c r="H126" s="119"/>
      <c r="I126" s="119"/>
      <c r="J126" s="124"/>
    </row>
    <row r="127" spans="2:10" ht="20" customHeight="1" x14ac:dyDescent="0.35">
      <c r="B127" s="128" t="s">
        <v>9</v>
      </c>
      <c r="C127" s="129"/>
      <c r="D127" s="129"/>
      <c r="E127" s="130">
        <f>E125</f>
        <v>-21.261173695151243</v>
      </c>
      <c r="F127" s="119"/>
      <c r="G127" s="119"/>
      <c r="H127" s="119"/>
      <c r="I127" s="119"/>
      <c r="J127" s="124"/>
    </row>
    <row r="128" spans="2:10" ht="20" customHeight="1" x14ac:dyDescent="0.35">
      <c r="B128" s="123" t="s">
        <v>6</v>
      </c>
      <c r="C128" s="131"/>
      <c r="D128" s="131"/>
      <c r="E128" s="132">
        <f>E51</f>
        <v>-7</v>
      </c>
      <c r="F128" s="119"/>
      <c r="G128" s="119"/>
      <c r="H128" s="119"/>
      <c r="I128" s="119"/>
      <c r="J128" s="124"/>
    </row>
    <row r="129" spans="2:10" ht="20" customHeight="1" x14ac:dyDescent="0.35">
      <c r="B129" s="123" t="s">
        <v>51</v>
      </c>
      <c r="C129" s="131"/>
      <c r="D129" s="131"/>
      <c r="E129" s="132">
        <f>-E58</f>
        <v>-1</v>
      </c>
      <c r="F129" s="119"/>
      <c r="G129" s="119"/>
      <c r="H129" s="119"/>
      <c r="I129" s="119"/>
      <c r="J129" s="124"/>
    </row>
    <row r="130" spans="2:10" ht="20" customHeight="1" x14ac:dyDescent="0.35">
      <c r="B130" s="128" t="s">
        <v>10</v>
      </c>
      <c r="C130" s="129"/>
      <c r="D130" s="129"/>
      <c r="E130" s="130">
        <f>SUM(E127:E129)</f>
        <v>-29.261173695151243</v>
      </c>
      <c r="F130" s="119"/>
      <c r="G130" s="119"/>
      <c r="H130" s="119"/>
      <c r="I130" s="119"/>
      <c r="J130" s="124"/>
    </row>
    <row r="131" spans="2:10" ht="20" customHeight="1" x14ac:dyDescent="0.35">
      <c r="B131" s="123" t="s">
        <v>46</v>
      </c>
      <c r="C131" s="131"/>
      <c r="D131" s="131"/>
      <c r="E131" s="132"/>
      <c r="F131" s="119"/>
      <c r="G131" s="119"/>
      <c r="H131" s="119"/>
      <c r="I131" s="119"/>
      <c r="J131" s="124"/>
    </row>
    <row r="132" spans="2:10" ht="20" customHeight="1" x14ac:dyDescent="0.35">
      <c r="B132" s="125" t="s">
        <v>40</v>
      </c>
      <c r="C132" s="131"/>
      <c r="D132" s="131"/>
      <c r="E132" s="132"/>
      <c r="F132" s="119"/>
      <c r="G132" s="119"/>
      <c r="H132" s="119"/>
      <c r="I132" s="119"/>
      <c r="J132" s="124"/>
    </row>
    <row r="133" spans="2:10" ht="20" customHeight="1" x14ac:dyDescent="0.35">
      <c r="B133" s="123" t="s">
        <v>15</v>
      </c>
      <c r="C133" s="131"/>
      <c r="D133" s="119"/>
      <c r="E133" s="133">
        <f>E127/E32</f>
        <v>21.261173695151243</v>
      </c>
      <c r="F133" s="119"/>
      <c r="G133" s="119"/>
      <c r="H133" s="119"/>
      <c r="I133" s="119"/>
      <c r="J133" s="124"/>
    </row>
    <row r="134" spans="2:10" ht="20" customHeight="1" x14ac:dyDescent="0.35">
      <c r="B134" s="123" t="s">
        <v>16</v>
      </c>
      <c r="C134" s="131"/>
      <c r="D134" s="119"/>
      <c r="E134" s="133">
        <f>E130/E46</f>
        <v>7.3152934237878107</v>
      </c>
      <c r="F134" s="119"/>
      <c r="G134" s="119"/>
      <c r="H134" s="119"/>
      <c r="I134" s="119"/>
      <c r="J134" s="124"/>
    </row>
    <row r="135" spans="2:10" ht="20" customHeight="1" x14ac:dyDescent="0.35">
      <c r="B135" s="176" t="s">
        <v>17</v>
      </c>
      <c r="C135" s="177"/>
      <c r="D135" s="177"/>
      <c r="E135" s="178">
        <f>E130/E59</f>
        <v>4.8768622825252068</v>
      </c>
      <c r="F135" s="177"/>
      <c r="G135" s="177"/>
      <c r="H135" s="177"/>
      <c r="I135" s="177"/>
      <c r="J135" s="179"/>
    </row>
    <row r="136" spans="2:10" ht="11" customHeight="1" thickBot="1" x14ac:dyDescent="0.4">
      <c r="B136" s="134"/>
      <c r="C136" s="135"/>
      <c r="D136" s="135"/>
      <c r="E136" s="136"/>
      <c r="F136" s="135"/>
      <c r="G136" s="135"/>
      <c r="H136" s="135"/>
      <c r="I136" s="135"/>
      <c r="J136" s="137"/>
    </row>
    <row r="138" spans="2:10" s="20" customFormat="1" ht="25" customHeight="1" x14ac:dyDescent="0.35">
      <c r="B138" s="25" t="s">
        <v>28</v>
      </c>
    </row>
    <row r="139" spans="2:10" s="72" customFormat="1" ht="20" customHeight="1" x14ac:dyDescent="0.35">
      <c r="B139" s="75"/>
      <c r="C139" s="73">
        <f>D139-1</f>
        <v>2022</v>
      </c>
      <c r="D139" s="73">
        <f>E139-1</f>
        <v>2023</v>
      </c>
      <c r="E139" s="73">
        <f t="shared" ref="E139:J139" si="34">E$20</f>
        <v>2024</v>
      </c>
      <c r="F139" s="74">
        <f t="shared" si="34"/>
        <v>2025</v>
      </c>
      <c r="G139" s="74">
        <f t="shared" si="34"/>
        <v>2026</v>
      </c>
      <c r="H139" s="74">
        <f t="shared" si="34"/>
        <v>2027</v>
      </c>
      <c r="I139" s="74">
        <f t="shared" si="34"/>
        <v>2028</v>
      </c>
      <c r="J139" s="74">
        <f t="shared" si="34"/>
        <v>2029</v>
      </c>
    </row>
    <row r="140" spans="2:10" ht="5" customHeight="1" x14ac:dyDescent="0.35">
      <c r="B140" s="160"/>
      <c r="C140" s="161"/>
      <c r="D140" s="161"/>
      <c r="E140" s="162"/>
      <c r="F140" s="162"/>
      <c r="G140" s="162"/>
      <c r="H140" s="162"/>
      <c r="I140" s="162"/>
      <c r="J140" s="223"/>
    </row>
    <row r="141" spans="2:10" ht="20" customHeight="1" x14ac:dyDescent="0.35">
      <c r="B141" s="163" t="s">
        <v>69</v>
      </c>
      <c r="C141" s="164">
        <f t="shared" ref="C141:J141" si="35">C58/C32</f>
        <v>-1</v>
      </c>
      <c r="D141" s="164">
        <f t="shared" si="35"/>
        <v>-1</v>
      </c>
      <c r="E141" s="164">
        <f t="shared" si="35"/>
        <v>-1</v>
      </c>
      <c r="F141" s="164">
        <f t="shared" si="35"/>
        <v>-0.33445934646643699</v>
      </c>
      <c r="G141" s="164">
        <f t="shared" si="35"/>
        <v>-0.66894129003320957</v>
      </c>
      <c r="H141" s="164">
        <f t="shared" si="35"/>
        <v>-1.0034461719814622</v>
      </c>
      <c r="I141" s="164">
        <f t="shared" si="35"/>
        <v>-1.3379743382053786</v>
      </c>
      <c r="J141" s="224">
        <f t="shared" si="35"/>
        <v>-1.6725261392714308</v>
      </c>
    </row>
    <row r="142" spans="2:10" ht="20" customHeight="1" x14ac:dyDescent="0.35">
      <c r="B142" s="163" t="s">
        <v>70</v>
      </c>
      <c r="C142" s="164" t="s">
        <v>58</v>
      </c>
      <c r="D142" s="164" t="s">
        <v>58</v>
      </c>
      <c r="E142" s="164" t="s">
        <v>58</v>
      </c>
      <c r="F142" s="164">
        <f>IF(-F78-F79&lt;=0,"NA",F120/(-(F78+F79)))</f>
        <v>-303.18219178082188</v>
      </c>
      <c r="G142" s="164" t="str">
        <f>IF(-G78-G79&lt;=0,"NA",G120/(-(G78+G79)))</f>
        <v>NA</v>
      </c>
      <c r="H142" s="164" t="str">
        <f>IF(-H78-H79&lt;=0,"NA",H120/(-(H78+H79)))</f>
        <v>NA</v>
      </c>
      <c r="I142" s="164" t="str">
        <f>IF(-I78-I79&lt;=0,"NA",I120/(-(I78+I79)))</f>
        <v>NA</v>
      </c>
      <c r="J142" s="224" t="str">
        <f>IF(-J78-J79&lt;=0,"NA",J120/(-(J78+J79)))</f>
        <v>NA</v>
      </c>
    </row>
    <row r="143" spans="2:10" ht="20" customHeight="1" x14ac:dyDescent="0.35">
      <c r="B143" s="163" t="s">
        <v>71</v>
      </c>
      <c r="C143" s="164">
        <f t="shared" ref="C143:J143" si="36">IF(-C39&lt;=0,"NA",-C36/C39)</f>
        <v>-2</v>
      </c>
      <c r="D143" s="164">
        <f t="shared" si="36"/>
        <v>-2</v>
      </c>
      <c r="E143" s="164">
        <f t="shared" si="36"/>
        <v>-2</v>
      </c>
      <c r="F143" s="164">
        <f t="shared" si="36"/>
        <v>-303.98999999999995</v>
      </c>
      <c r="G143" s="164">
        <f t="shared" si="36"/>
        <v>-205.98660000000001</v>
      </c>
      <c r="H143" s="164">
        <f t="shared" si="36"/>
        <v>-125.58787959999999</v>
      </c>
      <c r="I143" s="164">
        <f t="shared" si="36"/>
        <v>-91.131255997142858</v>
      </c>
      <c r="J143" s="224">
        <f t="shared" si="36"/>
        <v>-88.655331099977786</v>
      </c>
    </row>
    <row r="144" spans="2:10" ht="20" customHeight="1" x14ac:dyDescent="0.35">
      <c r="B144" s="163" t="s">
        <v>46</v>
      </c>
      <c r="C144" s="165"/>
      <c r="D144" s="165"/>
      <c r="E144" s="166"/>
      <c r="F144" s="166"/>
      <c r="G144" s="166"/>
      <c r="H144" s="166"/>
      <c r="I144" s="166"/>
      <c r="J144" s="225"/>
    </row>
    <row r="145" spans="2:10" ht="20" customHeight="1" x14ac:dyDescent="0.35">
      <c r="B145" s="163" t="s">
        <v>72</v>
      </c>
      <c r="C145" s="164">
        <f t="shared" ref="C145:J145" si="37">IF(ISERR(SUM(C51:C53)/SUM(C57:C57)),"NA",SUM(C51:C53)/SUM(C57:C57))</f>
        <v>3</v>
      </c>
      <c r="D145" s="164">
        <f t="shared" si="37"/>
        <v>-1</v>
      </c>
      <c r="E145" s="164">
        <f t="shared" si="37"/>
        <v>-5</v>
      </c>
      <c r="F145" s="164">
        <f t="shared" si="37"/>
        <v>-59.838808880888102</v>
      </c>
      <c r="G145" s="164">
        <f t="shared" si="37"/>
        <v>-77.336466237382822</v>
      </c>
      <c r="H145" s="164">
        <f t="shared" si="37"/>
        <v>-94.540703571223048</v>
      </c>
      <c r="I145" s="164">
        <f t="shared" si="37"/>
        <v>-111.45502539005892</v>
      </c>
      <c r="J145" s="224">
        <f t="shared" si="37"/>
        <v>-128.08290141574682</v>
      </c>
    </row>
    <row r="146" spans="2:10" ht="20" customHeight="1" x14ac:dyDescent="0.35">
      <c r="B146" s="163" t="s">
        <v>37</v>
      </c>
      <c r="C146" s="167">
        <f t="shared" ref="C146:J146" si="38">C52/C21*365</f>
        <v>365</v>
      </c>
      <c r="D146" s="167">
        <f t="shared" si="38"/>
        <v>365</v>
      </c>
      <c r="E146" s="167">
        <f t="shared" si="38"/>
        <v>365</v>
      </c>
      <c r="F146" s="167">
        <f t="shared" si="38"/>
        <v>30</v>
      </c>
      <c r="G146" s="167">
        <f t="shared" si="38"/>
        <v>30</v>
      </c>
      <c r="H146" s="167">
        <f t="shared" si="38"/>
        <v>30</v>
      </c>
      <c r="I146" s="167">
        <f t="shared" si="38"/>
        <v>30</v>
      </c>
      <c r="J146" s="226">
        <f t="shared" si="38"/>
        <v>30</v>
      </c>
    </row>
    <row r="147" spans="2:10" ht="20" customHeight="1" x14ac:dyDescent="0.35">
      <c r="B147" s="163" t="s">
        <v>38</v>
      </c>
      <c r="C147" s="167">
        <f t="shared" ref="C147:J147" si="39">-C53/C24*365</f>
        <v>-365</v>
      </c>
      <c r="D147" s="167">
        <f t="shared" si="39"/>
        <v>-365</v>
      </c>
      <c r="E147" s="167">
        <f t="shared" si="39"/>
        <v>-365</v>
      </c>
      <c r="F147" s="167">
        <f t="shared" si="39"/>
        <v>45</v>
      </c>
      <c r="G147" s="167">
        <f t="shared" si="39"/>
        <v>45</v>
      </c>
      <c r="H147" s="167">
        <f t="shared" si="39"/>
        <v>44.999999999999993</v>
      </c>
      <c r="I147" s="167">
        <f t="shared" si="39"/>
        <v>45</v>
      </c>
      <c r="J147" s="226">
        <f t="shared" si="39"/>
        <v>44.999999999999993</v>
      </c>
    </row>
    <row r="148" spans="2:10" ht="20" customHeight="1" x14ac:dyDescent="0.35">
      <c r="B148" s="163" t="s">
        <v>39</v>
      </c>
      <c r="C148" s="167">
        <f t="shared" ref="C148:J148" si="40">-C57/C24*365</f>
        <v>-365</v>
      </c>
      <c r="D148" s="167">
        <f t="shared" si="40"/>
        <v>-365</v>
      </c>
      <c r="E148" s="167">
        <f t="shared" si="40"/>
        <v>-365</v>
      </c>
      <c r="F148" s="167">
        <f t="shared" si="40"/>
        <v>60</v>
      </c>
      <c r="G148" s="167">
        <f t="shared" si="40"/>
        <v>60</v>
      </c>
      <c r="H148" s="167">
        <f t="shared" si="40"/>
        <v>60</v>
      </c>
      <c r="I148" s="167">
        <f t="shared" si="40"/>
        <v>60</v>
      </c>
      <c r="J148" s="226">
        <f t="shared" si="40"/>
        <v>60</v>
      </c>
    </row>
    <row r="149" spans="2:10" ht="20" customHeight="1" x14ac:dyDescent="0.35">
      <c r="B149" s="163" t="s">
        <v>46</v>
      </c>
      <c r="C149" s="165"/>
      <c r="D149" s="165"/>
      <c r="E149" s="166"/>
      <c r="F149" s="166"/>
      <c r="G149" s="166"/>
      <c r="H149" s="166"/>
      <c r="I149" s="166"/>
      <c r="J149" s="225"/>
    </row>
    <row r="150" spans="2:10" ht="20" customHeight="1" x14ac:dyDescent="0.35">
      <c r="B150" s="163" t="s">
        <v>73</v>
      </c>
      <c r="C150" s="166">
        <f t="shared" ref="C150:J150" si="41">C33</f>
        <v>-1</v>
      </c>
      <c r="D150" s="166">
        <f t="shared" si="41"/>
        <v>-1</v>
      </c>
      <c r="E150" s="166">
        <f t="shared" si="41"/>
        <v>-1</v>
      </c>
      <c r="F150" s="166">
        <f t="shared" si="41"/>
        <v>-2.9602970297029705</v>
      </c>
      <c r="G150" s="166">
        <f t="shared" si="41"/>
        <v>-2.9308881482207627</v>
      </c>
      <c r="H150" s="166">
        <f t="shared" si="41"/>
        <v>-2.9017704437829335</v>
      </c>
      <c r="I150" s="166">
        <f t="shared" si="41"/>
        <v>-2.8729410334484489</v>
      </c>
      <c r="J150" s="225">
        <f t="shared" si="41"/>
        <v>-2.8443970628202466</v>
      </c>
    </row>
    <row r="151" spans="2:10" ht="20" customHeight="1" x14ac:dyDescent="0.35">
      <c r="B151" s="163" t="s">
        <v>74</v>
      </c>
      <c r="C151" s="164" t="s">
        <v>58</v>
      </c>
      <c r="D151" s="166">
        <f t="shared" ref="D151:J151" si="42">IF(ISERR(D21/C21-1),"NA",D21/C21-1)</f>
        <v>0</v>
      </c>
      <c r="E151" s="166">
        <f t="shared" si="42"/>
        <v>0</v>
      </c>
      <c r="F151" s="166">
        <f t="shared" si="42"/>
        <v>1.0000000000000009E-2</v>
      </c>
      <c r="G151" s="166">
        <f t="shared" si="42"/>
        <v>1.0000000000000009E-2</v>
      </c>
      <c r="H151" s="166">
        <f t="shared" si="42"/>
        <v>1.0000000000000009E-2</v>
      </c>
      <c r="I151" s="166">
        <f t="shared" si="42"/>
        <v>1.0000000000000009E-2</v>
      </c>
      <c r="J151" s="225">
        <f t="shared" si="42"/>
        <v>1.0000000000000009E-2</v>
      </c>
    </row>
    <row r="152" spans="2:10" ht="20" customHeight="1" x14ac:dyDescent="0.35">
      <c r="B152" s="163" t="s">
        <v>75</v>
      </c>
      <c r="C152" s="164" t="s">
        <v>58</v>
      </c>
      <c r="D152" s="164" t="s">
        <v>58</v>
      </c>
      <c r="E152" s="164" t="s">
        <v>58</v>
      </c>
      <c r="F152" s="166">
        <f>(F113+F114)/AVERAGE(E155:F155)</f>
        <v>-1.5230257818615196</v>
      </c>
      <c r="G152" s="166">
        <f>(G113+G114)/AVERAGE(F155:G155)</f>
        <v>-1.2652058111272171</v>
      </c>
      <c r="H152" s="166">
        <f>(H113+H114)/AVERAGE(G155:H155)</f>
        <v>-0.94638944393481705</v>
      </c>
      <c r="I152" s="166">
        <f>(I113+I114)/AVERAGE(H155:I155)</f>
        <v>-0.76987946211621539</v>
      </c>
      <c r="J152" s="225">
        <f>(J113+J114)/AVERAGE(I155:J155)</f>
        <v>-0.87808309611725399</v>
      </c>
    </row>
    <row r="153" spans="2:10" ht="20" customHeight="1" x14ac:dyDescent="0.35">
      <c r="B153" s="163" t="s">
        <v>76</v>
      </c>
      <c r="C153" s="166">
        <f>C46/AVERAGE(C59:C59)</f>
        <v>-2</v>
      </c>
      <c r="D153" s="166" t="str">
        <f>IFERROR(D46/AVERAGE(C59:D59),"")</f>
        <v/>
      </c>
      <c r="E153" s="166">
        <f t="shared" ref="E153:J153" si="43">E46/AVERAGE(D59:E59)</f>
        <v>1</v>
      </c>
      <c r="F153" s="166">
        <f t="shared" si="43"/>
        <v>0.40530501863799756</v>
      </c>
      <c r="G153" s="166">
        <f t="shared" si="43"/>
        <v>0.29284203865397318</v>
      </c>
      <c r="H153" s="166">
        <f t="shared" si="43"/>
        <v>0.23037679611662434</v>
      </c>
      <c r="I153" s="166">
        <f t="shared" si="43"/>
        <v>0.19044722613520926</v>
      </c>
      <c r="J153" s="225">
        <f t="shared" si="43"/>
        <v>0.19621826797804715</v>
      </c>
    </row>
    <row r="154" spans="2:10" ht="20" customHeight="1" x14ac:dyDescent="0.35">
      <c r="B154" s="163" t="s">
        <v>77</v>
      </c>
      <c r="C154" s="164">
        <f>C21/C55</f>
        <v>0.25</v>
      </c>
      <c r="D154" s="164" t="str">
        <f>IFERROR(D21/D55,"")</f>
        <v/>
      </c>
      <c r="E154" s="164">
        <f t="shared" ref="E154:J154" si="44">E21/E55</f>
        <v>-0.25</v>
      </c>
      <c r="F154" s="164">
        <f t="shared" si="44"/>
        <v>-0.1280826566563113</v>
      </c>
      <c r="G154" s="164">
        <f t="shared" si="44"/>
        <v>-0.10212552229234745</v>
      </c>
      <c r="H154" s="164">
        <f t="shared" si="44"/>
        <v>-8.4786398028122476E-2</v>
      </c>
      <c r="I154" s="164">
        <f t="shared" si="44"/>
        <v>-7.2391645336417634E-2</v>
      </c>
      <c r="J154" s="224">
        <f t="shared" si="44"/>
        <v>-6.0377064339113752E-2</v>
      </c>
    </row>
    <row r="155" spans="2:10" ht="20" customHeight="1" x14ac:dyDescent="0.35">
      <c r="B155" s="163" t="s">
        <v>78</v>
      </c>
      <c r="C155" s="168">
        <f t="shared" ref="C155:J155" si="45">SUM(C52:C54)-SUM(C57:C57)</f>
        <v>2</v>
      </c>
      <c r="D155" s="168">
        <f t="shared" si="45"/>
        <v>2</v>
      </c>
      <c r="E155" s="168">
        <f t="shared" si="45"/>
        <v>2</v>
      </c>
      <c r="F155" s="168">
        <f t="shared" si="45"/>
        <v>1.9919219178082193</v>
      </c>
      <c r="G155" s="168">
        <f t="shared" si="45"/>
        <v>2.8923411369863015</v>
      </c>
      <c r="H155" s="168">
        <f t="shared" si="45"/>
        <v>3.7427645483561647</v>
      </c>
      <c r="I155" s="168">
        <f t="shared" si="45"/>
        <v>4.5431921938397259</v>
      </c>
      <c r="J155" s="227">
        <f t="shared" si="45"/>
        <v>4.5436241157781234</v>
      </c>
    </row>
    <row r="156" spans="2:10" ht="11" customHeight="1" thickBot="1" x14ac:dyDescent="0.4">
      <c r="B156" s="228"/>
      <c r="C156" s="229"/>
      <c r="D156" s="229"/>
      <c r="E156" s="229"/>
      <c r="F156" s="229"/>
      <c r="G156" s="229"/>
      <c r="H156" s="229"/>
      <c r="I156" s="229"/>
      <c r="J156" s="230"/>
    </row>
    <row r="157" spans="2:10" x14ac:dyDescent="0.35">
      <c r="B157" s="159"/>
      <c r="C157" s="15"/>
      <c r="D157" s="15"/>
      <c r="E157" s="15"/>
      <c r="F157" s="15"/>
      <c r="G157" s="15"/>
      <c r="H157" s="15"/>
      <c r="I157" s="15"/>
      <c r="J157" s="15"/>
    </row>
  </sheetData>
  <pageMargins left="0.3" right="0.3" top="0.3" bottom="0.3" header="0" footer="0"/>
  <pageSetup scale="75" fitToHeight="0" orientation="landscape" horizontalDpi="0" verticalDpi="0"/>
  <headerFooter>
    <oddFooter>Page &amp;P of &amp;N</oddFooter>
  </headerFooter>
  <rowBreaks count="4" manualBreakCount="4">
    <brk id="18" max="16383" man="1"/>
    <brk id="88" max="16383" man="1"/>
    <brk id="110" max="16383" man="1"/>
    <brk id="137" max="16383" man="1"/>
  </rowBreaks>
  <ignoredErrors>
    <ignoredError sqref="F39 C145:D152 C155:D155 C153 C154" formulaRange="1"/>
    <ignoredError sqref="D84:J84 D154"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5" customWidth="1"/>
    <col min="2" max="2" width="88.36328125" style="5" customWidth="1"/>
    <col min="3" max="16384" width="10.81640625" style="5"/>
  </cols>
  <sheetData>
    <row r="1" spans="2:2" ht="20" customHeight="1" x14ac:dyDescent="0.35"/>
    <row r="2" spans="2:2" ht="105" customHeight="1" x14ac:dyDescent="0.35">
      <c r="B2" s="6"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DCF Valuation Model - EXAMPLE</vt:lpstr>
      <vt:lpstr>DCF Valuation Model - BLANK</vt:lpstr>
      <vt:lpstr>- Disclaimer -</vt:lpstr>
      <vt:lpstr>'DCF Valuation Model - BLANK'!Область_печати</vt:lpstr>
      <vt:lpstr>'DCF Valuation Model - EXAMPLE'!Область_печати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2020-06-28T17:25:17Z</cp:lastPrinted>
  <dcterms:created xsi:type="dcterms:W3CDTF">2017-03-12T00:10:35Z</dcterms:created>
  <dcterms:modified xsi:type="dcterms:W3CDTF">2020-07-07T18:39:23Z</dcterms:modified>
</cp:coreProperties>
</file>